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0430" windowHeight="8325" tabRatio="912" firstSheet="5" activeTab="9"/>
  </bookViews>
  <sheets>
    <sheet name="Risk-Free Rates" sheetId="10" r:id="rId1"/>
    <sheet name="Swap Pricing" sheetId="11" r:id="rId2"/>
    <sheet name="USD Instruments &amp; Statistics" sheetId="14" r:id="rId3"/>
    <sheet name="Interpolation" sheetId="1" r:id="rId4"/>
    <sheet name="Bootrapping USD3ML" sheetId="13" r:id="rId5"/>
    <sheet name="Solving USD3ML" sheetId="16" r:id="rId6"/>
    <sheet name="Solving EUR3ML" sheetId="17" r:id="rId7"/>
    <sheet name="Single Curve Calibration" sheetId="4" r:id="rId8"/>
    <sheet name="Global Curve Calibration" sheetId="5" r:id="rId9"/>
    <sheet name="USD LIBOR" sheetId="2" r:id="rId10"/>
    <sheet name="USD SOFR Spikes" sheetId="12" r:id="rId11"/>
    <sheet name="USD SOFR" sheetId="3" r:id="rId12"/>
    <sheet name="USD SOFR BASIC vs ADVANCED" sheetId="9" r:id="rId13"/>
  </sheets>
  <definedNames>
    <definedName name="DiscountFactor1Y">'Bootrapping USD3ML'!$F$11</definedName>
    <definedName name="DiscountFactor2Y">'Bootrapping USD3ML'!$F$12</definedName>
    <definedName name="DiscountFactor3Y">'Bootrapping USD3ML'!$F$13</definedName>
    <definedName name="DiscountFactor4Y">'Bootrapping USD3ML'!$F$14</definedName>
    <definedName name="DiscountFactor5Y">'Bootrapping USD3ML'!$F$15</definedName>
    <definedName name="ParRate1Y">'Bootrapping USD3ML'!$E$11</definedName>
    <definedName name="ParRate2Y">'Bootrapping USD3ML'!$E$12</definedName>
    <definedName name="ParRate3Y">'Bootrapping USD3ML'!$E$13</definedName>
    <definedName name="ParRate4Y">'Bootrapping USD3ML'!$E$14</definedName>
    <definedName name="ParRate5Y">'Bootrapping USD3ML'!$E$15</definedName>
  </definedNames>
  <calcPr calcId="162913" calcMode="manual" calcCompleted="0" calcOnSave="0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3" i="17" l="1"/>
  <c r="K14" i="17"/>
  <c r="L14" i="17"/>
  <c r="K15" i="17"/>
  <c r="L15" i="17"/>
  <c r="M15" i="17"/>
  <c r="K16" i="17"/>
  <c r="L16" i="17"/>
  <c r="M16" i="17"/>
  <c r="N16" i="17"/>
  <c r="K17" i="17"/>
  <c r="L17" i="17"/>
  <c r="M17" i="17"/>
  <c r="N17" i="17"/>
  <c r="O17" i="17"/>
  <c r="K24" i="17" a="1"/>
  <c r="K24" i="17"/>
  <c r="L24" i="17"/>
  <c r="M24" i="17"/>
  <c r="N24" i="17"/>
  <c r="O24" i="17"/>
  <c r="K25" i="17"/>
  <c r="L25" i="17"/>
  <c r="M25" i="17"/>
  <c r="N25" i="17"/>
  <c r="O25" i="17"/>
  <c r="K26" i="17"/>
  <c r="L26" i="17"/>
  <c r="M26" i="17"/>
  <c r="N26" i="17"/>
  <c r="O26" i="17"/>
  <c r="K27" i="17"/>
  <c r="L27" i="17"/>
  <c r="M27" i="17"/>
  <c r="N27" i="17"/>
  <c r="O27" i="17"/>
  <c r="K28" i="17"/>
  <c r="L28" i="17"/>
  <c r="M28" i="17"/>
  <c r="N28" i="17"/>
  <c r="O28" i="17"/>
  <c r="S20" i="17"/>
  <c r="S21" i="17"/>
  <c r="S22" i="17"/>
  <c r="S23" i="17"/>
  <c r="F18" i="17"/>
  <c r="F17" i="17"/>
  <c r="F16" i="17"/>
  <c r="F15" i="17"/>
  <c r="F14" i="17"/>
  <c r="G14" i="17"/>
  <c r="S8" i="17" a="1"/>
  <c r="S12" i="17"/>
  <c r="T12" i="17"/>
  <c r="U12" i="17"/>
  <c r="S11" i="17"/>
  <c r="T11" i="17"/>
  <c r="U11" i="17"/>
  <c r="S10" i="17"/>
  <c r="T10" i="17"/>
  <c r="U10" i="17"/>
  <c r="S9" i="17"/>
  <c r="T9" i="17"/>
  <c r="U9" i="17"/>
  <c r="S8" i="17"/>
  <c r="T8" i="17"/>
  <c r="U8" i="17"/>
  <c r="S25" i="16"/>
  <c r="S26" i="16"/>
  <c r="S27" i="16"/>
  <c r="S28" i="16"/>
  <c r="K13" i="16"/>
  <c r="K14" i="16"/>
  <c r="L14" i="16"/>
  <c r="K15" i="16"/>
  <c r="L15" i="16"/>
  <c r="M15" i="16"/>
  <c r="K16" i="16"/>
  <c r="L16" i="16"/>
  <c r="M16" i="16"/>
  <c r="N16" i="16"/>
  <c r="K17" i="16"/>
  <c r="L17" i="16"/>
  <c r="M17" i="16"/>
  <c r="N17" i="16"/>
  <c r="O17" i="16"/>
  <c r="S13" i="16" a="1"/>
  <c r="S17" i="16"/>
  <c r="T17" i="16"/>
  <c r="U17" i="16"/>
  <c r="S16" i="16"/>
  <c r="T16" i="16"/>
  <c r="U16" i="16"/>
  <c r="S15" i="16"/>
  <c r="T15" i="16"/>
  <c r="U15" i="16"/>
  <c r="S14" i="16"/>
  <c r="T14" i="16"/>
  <c r="U14" i="16"/>
  <c r="T13" i="16"/>
  <c r="S13" i="16"/>
  <c r="U13" i="16"/>
  <c r="F14" i="16"/>
  <c r="F15" i="16"/>
  <c r="F16" i="16"/>
  <c r="F17" i="16"/>
  <c r="F18" i="16"/>
  <c r="G14" i="16"/>
  <c r="G18" i="16"/>
  <c r="G17" i="16"/>
  <c r="G16" i="16"/>
  <c r="G15" i="16"/>
  <c r="K24" i="16" a="1"/>
  <c r="K24" i="16"/>
  <c r="L24" i="16"/>
  <c r="M24" i="16"/>
  <c r="N24" i="16"/>
  <c r="O24" i="16"/>
  <c r="K25" i="16"/>
  <c r="L25" i="16"/>
  <c r="M25" i="16"/>
  <c r="N25" i="16"/>
  <c r="O25" i="16"/>
  <c r="K26" i="16"/>
  <c r="L26" i="16"/>
  <c r="M26" i="16"/>
  <c r="N26" i="16"/>
  <c r="O26" i="16"/>
  <c r="K27" i="16"/>
  <c r="L27" i="16"/>
  <c r="M27" i="16"/>
  <c r="N27" i="16"/>
  <c r="O27" i="16"/>
  <c r="K28" i="16"/>
  <c r="L28" i="16"/>
  <c r="M28" i="16"/>
  <c r="N28" i="16"/>
  <c r="O28" i="16"/>
  <c r="AD8" i="14"/>
  <c r="G9" i="14"/>
  <c r="X15" i="14"/>
  <c r="G8" i="14"/>
  <c r="X8" i="14"/>
  <c r="G7" i="14"/>
  <c r="R15" i="14"/>
  <c r="G6" i="14"/>
  <c r="R8" i="14"/>
  <c r="G5" i="14"/>
  <c r="G10" i="14"/>
  <c r="R11" i="14"/>
  <c r="R18" i="14"/>
  <c r="X11" i="14"/>
  <c r="X18" i="14"/>
  <c r="AD11" i="14"/>
  <c r="G12" i="14"/>
  <c r="G11" i="14"/>
  <c r="P38" i="11"/>
  <c r="U46" i="13"/>
  <c r="U45" i="13"/>
  <c r="U44" i="13"/>
  <c r="U43" i="13"/>
  <c r="U42" i="13"/>
  <c r="J46" i="13"/>
  <c r="J45" i="13"/>
  <c r="J44" i="13"/>
  <c r="J43" i="13"/>
  <c r="J42" i="13"/>
  <c r="U38" i="13"/>
  <c r="U37" i="13"/>
  <c r="U36" i="13"/>
  <c r="U35" i="13"/>
  <c r="J38" i="13"/>
  <c r="J37" i="13"/>
  <c r="J36" i="13"/>
  <c r="J35" i="13"/>
  <c r="U31" i="13"/>
  <c r="U30" i="13"/>
  <c r="U29" i="13"/>
  <c r="J31" i="13"/>
  <c r="U20" i="13"/>
  <c r="U25" i="13"/>
  <c r="U24" i="13"/>
  <c r="J30" i="13"/>
  <c r="J29" i="13"/>
  <c r="J25" i="13"/>
  <c r="J24" i="13"/>
  <c r="J20" i="13"/>
  <c r="H42" i="13"/>
  <c r="K42" i="13"/>
  <c r="H43" i="13"/>
  <c r="K43" i="13"/>
  <c r="H44" i="13"/>
  <c r="K44" i="13"/>
  <c r="H45" i="13"/>
  <c r="K45" i="13"/>
  <c r="H46" i="13"/>
  <c r="K46" i="13"/>
  <c r="K40" i="13"/>
  <c r="H20" i="13"/>
  <c r="K20" i="13"/>
  <c r="K18" i="13"/>
  <c r="S20" i="13"/>
  <c r="S42" i="13"/>
  <c r="V42" i="13"/>
  <c r="H24" i="13"/>
  <c r="K24" i="13"/>
  <c r="H25" i="13"/>
  <c r="K25" i="13"/>
  <c r="K22" i="13"/>
  <c r="S24" i="13"/>
  <c r="V24" i="13"/>
  <c r="S25" i="13"/>
  <c r="S43" i="13"/>
  <c r="V43" i="13"/>
  <c r="H29" i="13"/>
  <c r="K29" i="13"/>
  <c r="H30" i="13"/>
  <c r="K30" i="13"/>
  <c r="H31" i="13"/>
  <c r="K31" i="13"/>
  <c r="K27" i="13"/>
  <c r="S29" i="13"/>
  <c r="V29" i="13"/>
  <c r="S30" i="13"/>
  <c r="V30" i="13"/>
  <c r="S31" i="13"/>
  <c r="S44" i="13"/>
  <c r="V44" i="13"/>
  <c r="H35" i="13"/>
  <c r="K35" i="13"/>
  <c r="H36" i="13"/>
  <c r="K36" i="13"/>
  <c r="H37" i="13"/>
  <c r="K37" i="13"/>
  <c r="H38" i="13"/>
  <c r="K38" i="13"/>
  <c r="K33" i="13"/>
  <c r="S35" i="13"/>
  <c r="V35" i="13"/>
  <c r="S36" i="13"/>
  <c r="V36" i="13"/>
  <c r="S37" i="13"/>
  <c r="V37" i="13"/>
  <c r="S38" i="13"/>
  <c r="S45" i="13"/>
  <c r="V45" i="13"/>
  <c r="S46" i="13"/>
  <c r="I15" i="13"/>
  <c r="I14" i="13"/>
  <c r="I13" i="13"/>
  <c r="I12" i="13"/>
  <c r="I11" i="13"/>
  <c r="V31" i="13"/>
  <c r="V46" i="13"/>
  <c r="V27" i="13"/>
  <c r="V25" i="13"/>
  <c r="V22" i="13"/>
  <c r="V20" i="13"/>
  <c r="V18" i="13"/>
  <c r="P36" i="11"/>
  <c r="P37" i="11"/>
  <c r="T37" i="11"/>
  <c r="T38" i="11"/>
  <c r="T39" i="11"/>
  <c r="X18" i="3"/>
  <c r="X19" i="3"/>
  <c r="X20" i="3"/>
  <c r="X21" i="3"/>
  <c r="X22" i="3"/>
  <c r="X23" i="3"/>
  <c r="Z11" i="3"/>
  <c r="X11" i="3"/>
  <c r="Z12" i="3"/>
  <c r="X12" i="3"/>
  <c r="Z13" i="3"/>
  <c r="X13" i="3"/>
  <c r="Z14" i="3"/>
  <c r="X14" i="3"/>
  <c r="X32" i="3"/>
  <c r="Z6" i="3"/>
  <c r="X6" i="3"/>
  <c r="Z7" i="3"/>
  <c r="X7" i="3"/>
  <c r="Z8" i="3"/>
  <c r="X8" i="3"/>
  <c r="Z9" i="3"/>
  <c r="X9" i="3"/>
  <c r="Z10" i="3"/>
  <c r="X10" i="3"/>
  <c r="X41" i="3"/>
  <c r="Z15" i="3"/>
  <c r="X15" i="3"/>
  <c r="X42" i="3"/>
  <c r="Z16" i="3"/>
  <c r="X16" i="3"/>
  <c r="X43" i="3"/>
  <c r="Z17" i="3"/>
  <c r="X17" i="3"/>
  <c r="AE25" i="3"/>
  <c r="X44" i="3"/>
  <c r="Z18" i="3"/>
  <c r="AE26" i="3"/>
  <c r="X45" i="3"/>
  <c r="Z19" i="3"/>
  <c r="AE27" i="3"/>
  <c r="X46" i="3"/>
  <c r="Z20" i="3"/>
  <c r="AE31" i="3"/>
  <c r="X47" i="3"/>
  <c r="Z21" i="3"/>
  <c r="AE32" i="3"/>
  <c r="X48" i="3"/>
  <c r="Z22" i="3"/>
  <c r="AE33" i="3"/>
  <c r="X49" i="3"/>
  <c r="Z23" i="3"/>
  <c r="P15" i="9"/>
  <c r="P16" i="9"/>
  <c r="P17" i="9"/>
  <c r="P18" i="9"/>
  <c r="P19" i="9"/>
  <c r="P20" i="9"/>
  <c r="AJ25" i="9"/>
  <c r="AD44" i="9"/>
  <c r="AD18" i="9"/>
  <c r="AJ26" i="9"/>
  <c r="AD45" i="9"/>
  <c r="AD19" i="9"/>
  <c r="AJ27" i="9"/>
  <c r="AD46" i="9"/>
  <c r="AD20" i="9"/>
  <c r="AJ31" i="9"/>
  <c r="AD47" i="9"/>
  <c r="AD21" i="9"/>
  <c r="AJ32" i="9"/>
  <c r="AD48" i="9"/>
  <c r="AD22" i="9"/>
  <c r="AJ33" i="9"/>
  <c r="AD49" i="9"/>
  <c r="AD23" i="9"/>
  <c r="AD41" i="9"/>
  <c r="AD15" i="9"/>
  <c r="P12" i="9"/>
  <c r="AD42" i="9"/>
  <c r="AD16" i="9"/>
  <c r="P13" i="9"/>
  <c r="AD43" i="9"/>
  <c r="AD17" i="9"/>
  <c r="P14" i="9"/>
  <c r="AD13" i="9"/>
  <c r="P10" i="9"/>
  <c r="P11" i="9"/>
  <c r="Q112" i="3"/>
  <c r="Q117" i="3"/>
  <c r="Q113" i="3"/>
  <c r="Q114" i="3"/>
  <c r="Q115" i="3"/>
  <c r="Q116" i="3"/>
  <c r="Q107" i="3"/>
  <c r="Q108" i="3"/>
  <c r="Q109" i="3"/>
  <c r="Q110" i="3"/>
  <c r="Q111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6" i="3"/>
  <c r="P8" i="3"/>
  <c r="P7" i="3"/>
  <c r="Q102" i="3"/>
  <c r="Q103" i="3"/>
  <c r="Q104" i="3"/>
  <c r="Q105" i="3"/>
  <c r="Q106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AD10" i="9"/>
  <c r="P9" i="9"/>
  <c r="AD7" i="9"/>
  <c r="P6" i="9"/>
  <c r="AB41" i="9"/>
  <c r="AB15" i="9"/>
  <c r="N10" i="9"/>
  <c r="N11" i="9"/>
  <c r="N12" i="9"/>
  <c r="N13" i="9"/>
  <c r="N14" i="9"/>
  <c r="N15" i="9"/>
  <c r="N16" i="9"/>
  <c r="N17" i="9"/>
  <c r="N18" i="9"/>
  <c r="N19" i="9"/>
  <c r="N20" i="9"/>
  <c r="O5" i="9"/>
  <c r="AD32" i="9"/>
  <c r="AD6" i="9"/>
  <c r="P5" i="9"/>
  <c r="O6" i="9"/>
  <c r="O7" i="9"/>
  <c r="AD8" i="9"/>
  <c r="P7" i="9"/>
  <c r="O8" i="9"/>
  <c r="AD9" i="9"/>
  <c r="P8" i="9"/>
  <c r="O9" i="9"/>
  <c r="O12" i="9"/>
  <c r="O13" i="9"/>
  <c r="O14" i="9"/>
  <c r="O15" i="9"/>
  <c r="O16" i="9"/>
  <c r="O17" i="9"/>
  <c r="O18" i="9"/>
  <c r="O19" i="9"/>
  <c r="O20" i="9"/>
  <c r="X126" i="9"/>
  <c r="T126" i="9"/>
  <c r="X125" i="9"/>
  <c r="T125" i="9"/>
  <c r="X124" i="9"/>
  <c r="T124" i="9"/>
  <c r="X123" i="9"/>
  <c r="T123" i="9"/>
  <c r="X122" i="9"/>
  <c r="T122" i="9"/>
  <c r="X121" i="9"/>
  <c r="T121" i="9"/>
  <c r="X120" i="9"/>
  <c r="T120" i="9"/>
  <c r="X119" i="9"/>
  <c r="T119" i="9"/>
  <c r="X118" i="9"/>
  <c r="T118" i="9"/>
  <c r="AD14" i="9"/>
  <c r="W117" i="9"/>
  <c r="X117" i="9"/>
  <c r="T117" i="9"/>
  <c r="W112" i="9"/>
  <c r="W116" i="9"/>
  <c r="T112" i="9"/>
  <c r="T113" i="9"/>
  <c r="T114" i="9"/>
  <c r="T115" i="9"/>
  <c r="T116" i="9"/>
  <c r="W115" i="9"/>
  <c r="W114" i="9"/>
  <c r="W113" i="9"/>
  <c r="AD12" i="9"/>
  <c r="W107" i="9"/>
  <c r="W111" i="9"/>
  <c r="T107" i="9"/>
  <c r="T108" i="9"/>
  <c r="T109" i="9"/>
  <c r="T110" i="9"/>
  <c r="T111" i="9"/>
  <c r="W110" i="9"/>
  <c r="W109" i="9"/>
  <c r="W108" i="9"/>
  <c r="AD11" i="9"/>
  <c r="W102" i="9"/>
  <c r="W106" i="9"/>
  <c r="T103" i="9"/>
  <c r="T104" i="9"/>
  <c r="T105" i="9"/>
  <c r="T106" i="9"/>
  <c r="W105" i="9"/>
  <c r="W104" i="9"/>
  <c r="W103" i="9"/>
  <c r="V77" i="9"/>
  <c r="V101" i="9"/>
  <c r="W101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V79" i="9"/>
  <c r="V78" i="9"/>
  <c r="V50" i="9"/>
  <c r="V76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V75" i="9"/>
  <c r="V74" i="9"/>
  <c r="V73" i="9"/>
  <c r="V72" i="9"/>
  <c r="V71" i="9"/>
  <c r="V70" i="9"/>
  <c r="V69" i="9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V52" i="9"/>
  <c r="V51" i="9"/>
  <c r="AC49" i="9"/>
  <c r="AB49" i="9"/>
  <c r="V29" i="9"/>
  <c r="V49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AC48" i="9"/>
  <c r="AB48" i="9"/>
  <c r="V48" i="9"/>
  <c r="AC47" i="9"/>
  <c r="AB47" i="9"/>
  <c r="V47" i="9"/>
  <c r="AC46" i="9"/>
  <c r="AB46" i="9"/>
  <c r="V46" i="9"/>
  <c r="AC45" i="9"/>
  <c r="AB45" i="9"/>
  <c r="V45" i="9"/>
  <c r="AC44" i="9"/>
  <c r="AB44" i="9"/>
  <c r="V44" i="9"/>
  <c r="AC43" i="9"/>
  <c r="AB43" i="9"/>
  <c r="V43" i="9"/>
  <c r="AC42" i="9"/>
  <c r="AB42" i="9"/>
  <c r="V42" i="9"/>
  <c r="AC41" i="9"/>
  <c r="V41" i="9"/>
  <c r="AD40" i="9"/>
  <c r="AC40" i="9"/>
  <c r="AB40" i="9"/>
  <c r="V40" i="9"/>
  <c r="AD39" i="9"/>
  <c r="AC39" i="9"/>
  <c r="AB39" i="9"/>
  <c r="V39" i="9"/>
  <c r="AD38" i="9"/>
  <c r="AC38" i="9"/>
  <c r="AB38" i="9"/>
  <c r="V38" i="9"/>
  <c r="AD37" i="9"/>
  <c r="AC37" i="9"/>
  <c r="AB37" i="9"/>
  <c r="V37" i="9"/>
  <c r="AD36" i="9"/>
  <c r="AC36" i="9"/>
  <c r="V36" i="9"/>
  <c r="AD35" i="9"/>
  <c r="AC35" i="9"/>
  <c r="V35" i="9"/>
  <c r="AD34" i="9"/>
  <c r="AC34" i="9"/>
  <c r="V34" i="9"/>
  <c r="AD33" i="9"/>
  <c r="AC33" i="9"/>
  <c r="V33" i="9"/>
  <c r="AC32" i="9"/>
  <c r="V32" i="9"/>
  <c r="V31" i="9"/>
  <c r="V30" i="9"/>
  <c r="V6" i="9"/>
  <c r="V28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V27" i="9"/>
  <c r="V26" i="9"/>
  <c r="V25" i="9"/>
  <c r="V24" i="9"/>
  <c r="AB23" i="9"/>
  <c r="V23" i="9"/>
  <c r="AB22" i="9"/>
  <c r="V22" i="9"/>
  <c r="AB21" i="9"/>
  <c r="V21" i="9"/>
  <c r="AB20" i="9"/>
  <c r="V20" i="9"/>
  <c r="AB19" i="9"/>
  <c r="V19" i="9"/>
  <c r="AB18" i="9"/>
  <c r="V18" i="9"/>
  <c r="AB17" i="9"/>
  <c r="V17" i="9"/>
  <c r="AB16" i="9"/>
  <c r="V16" i="9"/>
  <c r="V15" i="9"/>
  <c r="AB14" i="9"/>
  <c r="V14" i="9"/>
  <c r="AB13" i="9"/>
  <c r="V13" i="9"/>
  <c r="AB12" i="9"/>
  <c r="V12" i="9"/>
  <c r="AB11" i="9"/>
  <c r="V11" i="9"/>
  <c r="V10" i="9"/>
  <c r="V9" i="9"/>
  <c r="V8" i="9"/>
  <c r="V7" i="9"/>
  <c r="AL6" i="9"/>
  <c r="U6" i="9"/>
  <c r="AL5" i="9"/>
  <c r="U5" i="9"/>
  <c r="T5" i="9"/>
  <c r="O6" i="3"/>
  <c r="O5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R117" i="3"/>
  <c r="Q101" i="3"/>
  <c r="R126" i="3"/>
  <c r="R125" i="3"/>
  <c r="R124" i="3"/>
  <c r="R123" i="3"/>
  <c r="R122" i="3"/>
  <c r="R121" i="3"/>
  <c r="R120" i="3"/>
  <c r="R119" i="3"/>
  <c r="R118" i="3"/>
  <c r="N118" i="3"/>
  <c r="N119" i="3"/>
  <c r="N120" i="3"/>
  <c r="N121" i="3"/>
  <c r="N122" i="3"/>
  <c r="N123" i="3"/>
  <c r="N124" i="3"/>
  <c r="N125" i="3"/>
  <c r="N126" i="3"/>
  <c r="N117" i="3"/>
  <c r="N112" i="3"/>
  <c r="N107" i="3"/>
  <c r="N103" i="3"/>
  <c r="N104" i="3"/>
  <c r="N105" i="3"/>
  <c r="N106" i="3"/>
  <c r="N108" i="3"/>
  <c r="N109" i="3"/>
  <c r="N110" i="3"/>
  <c r="N111" i="3"/>
  <c r="N113" i="3"/>
  <c r="N114" i="3"/>
  <c r="N115" i="3"/>
  <c r="N116" i="3"/>
  <c r="N5" i="3"/>
  <c r="V37" i="3"/>
  <c r="V11" i="3"/>
  <c r="V38" i="3"/>
  <c r="V12" i="3"/>
  <c r="V39" i="3"/>
  <c r="V13" i="3"/>
  <c r="V40" i="3"/>
  <c r="V14" i="3"/>
  <c r="V41" i="3"/>
  <c r="V15" i="3"/>
  <c r="V42" i="3"/>
  <c r="V16" i="3"/>
  <c r="V43" i="3"/>
  <c r="V17" i="3"/>
  <c r="V44" i="3"/>
  <c r="V18" i="3"/>
  <c r="V45" i="3"/>
  <c r="V19" i="3"/>
  <c r="V46" i="3"/>
  <c r="V20" i="3"/>
  <c r="V47" i="3"/>
  <c r="V21" i="3"/>
  <c r="V48" i="3"/>
  <c r="V22" i="3"/>
  <c r="V49" i="3"/>
  <c r="V23" i="3"/>
  <c r="X40" i="3"/>
  <c r="W40" i="3"/>
  <c r="W42" i="3"/>
  <c r="W43" i="3"/>
  <c r="W37" i="3"/>
  <c r="W38" i="3"/>
  <c r="W39" i="3"/>
  <c r="W47" i="3"/>
  <c r="W48" i="3"/>
  <c r="W49" i="3"/>
  <c r="W44" i="3"/>
  <c r="W45" i="3"/>
  <c r="W46" i="3"/>
  <c r="X37" i="3"/>
  <c r="X38" i="3"/>
  <c r="X39" i="3"/>
  <c r="W32" i="3"/>
  <c r="W33" i="3"/>
  <c r="X33" i="3"/>
  <c r="W34" i="3"/>
  <c r="X34" i="3"/>
  <c r="W35" i="3"/>
  <c r="X35" i="3"/>
  <c r="W36" i="3"/>
  <c r="X36" i="3"/>
  <c r="AG6" i="3"/>
  <c r="AG5" i="3"/>
  <c r="V40" i="13"/>
  <c r="V38" i="13"/>
  <c r="V33" i="13"/>
  <c r="E14" i="16" a="1"/>
  <c r="E14" i="16"/>
  <c r="F19" i="16"/>
  <c r="G19" i="16"/>
  <c r="E18" i="16"/>
  <c r="F23" i="16"/>
  <c r="E17" i="16"/>
  <c r="F22" i="16"/>
  <c r="E16" i="16"/>
  <c r="F21" i="16"/>
  <c r="E15" i="16"/>
  <c r="F20" i="16"/>
  <c r="H18" i="16"/>
  <c r="H17" i="16"/>
  <c r="H16" i="16"/>
  <c r="H15" i="16"/>
  <c r="H14" i="16"/>
  <c r="G20" i="16"/>
  <c r="G21" i="16"/>
  <c r="G22" i="16"/>
  <c r="G23" i="16"/>
  <c r="E19" i="16" a="1"/>
  <c r="E19" i="16"/>
  <c r="H19" i="16"/>
  <c r="E20" i="16"/>
  <c r="H20" i="16"/>
  <c r="E21" i="16"/>
  <c r="H21" i="16"/>
  <c r="E22" i="16"/>
  <c r="H22" i="16"/>
  <c r="E23" i="16"/>
  <c r="H23" i="16"/>
  <c r="F24" i="16"/>
  <c r="G24" i="16"/>
  <c r="F25" i="16"/>
  <c r="F26" i="16"/>
  <c r="F27" i="16"/>
  <c r="F28" i="16"/>
  <c r="G25" i="16"/>
  <c r="G26" i="16"/>
  <c r="G27" i="16"/>
  <c r="G28" i="16"/>
  <c r="E24" i="16" a="1"/>
  <c r="E24" i="16"/>
  <c r="H24" i="16"/>
  <c r="E25" i="16"/>
  <c r="H25" i="16"/>
  <c r="E26" i="16"/>
  <c r="H26" i="16"/>
  <c r="E27" i="16"/>
  <c r="H27" i="16"/>
  <c r="E28" i="16"/>
  <c r="H28" i="16"/>
  <c r="F30" i="16"/>
  <c r="F31" i="16"/>
  <c r="F32" i="16"/>
  <c r="F33" i="16"/>
  <c r="F29" i="16"/>
  <c r="G29" i="16"/>
  <c r="R28" i="16"/>
  <c r="R27" i="16"/>
  <c r="R26" i="16"/>
  <c r="R25" i="16"/>
  <c r="R24" i="16"/>
  <c r="T24" i="16" a="1"/>
  <c r="T28" i="16"/>
  <c r="U28" i="16"/>
  <c r="T27" i="16"/>
  <c r="U27" i="16"/>
  <c r="T26" i="16"/>
  <c r="U26" i="16"/>
  <c r="T25" i="16"/>
  <c r="U25" i="16"/>
  <c r="T24" i="16"/>
  <c r="U24" i="16"/>
  <c r="G30" i="16"/>
  <c r="G31" i="16"/>
  <c r="G32" i="16"/>
  <c r="G33" i="16"/>
  <c r="E29" i="16" a="1"/>
  <c r="E29" i="16"/>
  <c r="H29" i="16"/>
  <c r="E30" i="16"/>
  <c r="H30" i="16"/>
  <c r="E31" i="16"/>
  <c r="H31" i="16"/>
  <c r="E32" i="16"/>
  <c r="H32" i="16"/>
  <c r="E33" i="16"/>
  <c r="H33" i="16"/>
  <c r="F34" i="16"/>
  <c r="G34" i="16"/>
  <c r="F35" i="16"/>
  <c r="F36" i="16"/>
  <c r="F37" i="16"/>
  <c r="F38" i="16"/>
  <c r="G35" i="16"/>
  <c r="G36" i="16"/>
  <c r="G37" i="16"/>
  <c r="G38" i="16"/>
  <c r="E34" i="16" a="1"/>
  <c r="E38" i="16"/>
  <c r="H38" i="16"/>
  <c r="E37" i="16"/>
  <c r="H37" i="16"/>
  <c r="E36" i="16"/>
  <c r="H36" i="16"/>
  <c r="E35" i="16"/>
  <c r="H35" i="16"/>
  <c r="E34" i="16"/>
  <c r="H34" i="16"/>
  <c r="G15" i="17"/>
  <c r="G16" i="17"/>
  <c r="G17" i="17"/>
  <c r="G18" i="17"/>
  <c r="E14" i="17" a="1"/>
  <c r="E14" i="17"/>
  <c r="H14" i="17"/>
  <c r="E15" i="17"/>
  <c r="H15" i="17"/>
  <c r="E16" i="17"/>
  <c r="H16" i="17"/>
  <c r="E17" i="17"/>
  <c r="H17" i="17"/>
  <c r="E18" i="17"/>
  <c r="H18" i="17"/>
  <c r="F19" i="17"/>
  <c r="G19" i="17"/>
  <c r="F20" i="17"/>
  <c r="G20" i="17"/>
  <c r="F21" i="17"/>
  <c r="G21" i="17"/>
  <c r="F22" i="17"/>
  <c r="G22" i="17"/>
  <c r="F23" i="17"/>
  <c r="G23" i="17"/>
  <c r="E19" i="17" a="1"/>
  <c r="E19" i="17"/>
  <c r="H19" i="17"/>
  <c r="E20" i="17"/>
  <c r="H20" i="17"/>
  <c r="E21" i="17"/>
  <c r="H21" i="17"/>
  <c r="E22" i="17"/>
  <c r="H22" i="17"/>
  <c r="E23" i="17"/>
  <c r="H23" i="17"/>
  <c r="F24" i="17"/>
  <c r="G24" i="17"/>
  <c r="F25" i="17"/>
  <c r="G25" i="17"/>
  <c r="F26" i="17"/>
  <c r="G26" i="17"/>
  <c r="F27" i="17"/>
  <c r="G27" i="17"/>
  <c r="F28" i="17"/>
  <c r="G28" i="17"/>
  <c r="E24" i="17" a="1"/>
  <c r="E28" i="17"/>
  <c r="F33" i="17"/>
  <c r="E27" i="17"/>
  <c r="F32" i="17"/>
  <c r="E26" i="17"/>
  <c r="F31" i="17"/>
  <c r="E25" i="17"/>
  <c r="F30" i="17"/>
  <c r="E24" i="17"/>
  <c r="F29" i="17"/>
  <c r="G29" i="17"/>
  <c r="H28" i="17"/>
  <c r="H27" i="17"/>
  <c r="H26" i="17"/>
  <c r="H25" i="17"/>
  <c r="H24" i="17"/>
  <c r="R23" i="17"/>
  <c r="R22" i="17"/>
  <c r="R21" i="17"/>
  <c r="R20" i="17"/>
  <c r="R19" i="17"/>
  <c r="T19" i="17" a="1"/>
  <c r="T19" i="17"/>
  <c r="U19" i="17"/>
  <c r="T20" i="17"/>
  <c r="U20" i="17"/>
  <c r="T21" i="17"/>
  <c r="U21" i="17"/>
  <c r="T22" i="17"/>
  <c r="U22" i="17"/>
  <c r="T23" i="17"/>
  <c r="U23" i="17"/>
  <c r="G30" i="17"/>
  <c r="G31" i="17"/>
  <c r="G32" i="17"/>
  <c r="G33" i="17"/>
  <c r="E29" i="17" a="1"/>
  <c r="E29" i="17"/>
  <c r="H29" i="17"/>
  <c r="E30" i="17"/>
  <c r="H30" i="17"/>
  <c r="E31" i="17"/>
  <c r="H31" i="17"/>
  <c r="E32" i="17"/>
  <c r="H32" i="17"/>
  <c r="E33" i="17"/>
  <c r="H33" i="17"/>
  <c r="F34" i="17"/>
  <c r="G34" i="17"/>
  <c r="F35" i="17"/>
  <c r="G35" i="17"/>
  <c r="F36" i="17"/>
  <c r="G36" i="17"/>
  <c r="F37" i="17"/>
  <c r="G37" i="17"/>
  <c r="F38" i="17"/>
  <c r="G38" i="17"/>
  <c r="E34" i="17" a="1"/>
  <c r="E34" i="17"/>
  <c r="H34" i="17"/>
  <c r="E35" i="17"/>
  <c r="H35" i="17"/>
  <c r="E36" i="17"/>
  <c r="H36" i="17"/>
  <c r="E37" i="17"/>
  <c r="H37" i="17"/>
  <c r="E38" i="17"/>
  <c r="H38" i="17"/>
</calcChain>
</file>

<file path=xl/sharedStrings.xml><?xml version="1.0" encoding="utf-8"?>
<sst xmlns="http://schemas.openxmlformats.org/spreadsheetml/2006/main" count="1124" uniqueCount="334">
  <si>
    <t>Term</t>
  </si>
  <si>
    <t>Rate</t>
  </si>
  <si>
    <t>1Y</t>
  </si>
  <si>
    <t>2Y</t>
  </si>
  <si>
    <t>5Y</t>
  </si>
  <si>
    <t>10Y</t>
  </si>
  <si>
    <t>12Y</t>
  </si>
  <si>
    <t>15Y</t>
  </si>
  <si>
    <t>20Y</t>
  </si>
  <si>
    <t>30Y</t>
  </si>
  <si>
    <t>3M</t>
  </si>
  <si>
    <t>Interpolated</t>
  </si>
  <si>
    <t>Quote</t>
  </si>
  <si>
    <t>SHORT-END</t>
  </si>
  <si>
    <t>Instrument</t>
  </si>
  <si>
    <t>MIDDLE</t>
  </si>
  <si>
    <t>StartDate</t>
  </si>
  <si>
    <t>EndDate</t>
  </si>
  <si>
    <t>Convexity</t>
  </si>
  <si>
    <t>MPC1</t>
  </si>
  <si>
    <t>MPC2</t>
  </si>
  <si>
    <t>MPC3</t>
  </si>
  <si>
    <t>M0</t>
  </si>
  <si>
    <t>U0</t>
  </si>
  <si>
    <t>Z0</t>
  </si>
  <si>
    <t>H1</t>
  </si>
  <si>
    <t>LONG-END</t>
  </si>
  <si>
    <t>4Y</t>
  </si>
  <si>
    <t>7Y</t>
  </si>
  <si>
    <t>OIS</t>
  </si>
  <si>
    <t>USD</t>
  </si>
  <si>
    <t>EUR</t>
  </si>
  <si>
    <t>GBP</t>
  </si>
  <si>
    <t>JPY</t>
  </si>
  <si>
    <t>Single Curve Calibration Order</t>
  </si>
  <si>
    <t>Global Curve Calibration</t>
  </si>
  <si>
    <t>Swaps</t>
  </si>
  <si>
    <t>Tenor Basis</t>
  </si>
  <si>
    <t>40Y</t>
  </si>
  <si>
    <t>50Y</t>
  </si>
  <si>
    <t>Outright Swaps</t>
  </si>
  <si>
    <t>Tenor Basis: ARR-OIS Basis</t>
  </si>
  <si>
    <t>Tenor Basis: ARR- Libor Basis</t>
  </si>
  <si>
    <t>1D</t>
  </si>
  <si>
    <t>Description</t>
  </si>
  <si>
    <t>SOFR Rate</t>
  </si>
  <si>
    <t>Future 5</t>
  </si>
  <si>
    <t>SOFR Swap</t>
  </si>
  <si>
    <t>Monetary Policy SOFR Swap</t>
  </si>
  <si>
    <t>Future 6</t>
  </si>
  <si>
    <t>Future 7</t>
  </si>
  <si>
    <t>Future 8</t>
  </si>
  <si>
    <t xml:space="preserve">SOFR Swap </t>
  </si>
  <si>
    <t>OIS Swap</t>
  </si>
  <si>
    <t>SOFR-OIS Basis Swap</t>
  </si>
  <si>
    <t>LIBOR Swap</t>
  </si>
  <si>
    <t>SOFR-LIBOR Basis Swap</t>
  </si>
  <si>
    <t>1st</t>
  </si>
  <si>
    <t>2nd</t>
  </si>
  <si>
    <t>3rd</t>
  </si>
  <si>
    <t>4th</t>
  </si>
  <si>
    <t>5th</t>
  </si>
  <si>
    <t>MPC4</t>
  </si>
  <si>
    <t>Piecewise-Constant</t>
  </si>
  <si>
    <t>Linear</t>
  </si>
  <si>
    <t>Spline</t>
  </si>
  <si>
    <t>Linear Coefft</t>
  </si>
  <si>
    <t>MPC Jumps</t>
  </si>
  <si>
    <t>Futures - Linear</t>
  </si>
  <si>
    <t>MPC Swaps - Piecewise Constant with Jumps</t>
  </si>
  <si>
    <t>USD6ML
3x6 Basis</t>
  </si>
  <si>
    <t>USD1ML
1x3 Basis</t>
  </si>
  <si>
    <t>USDOIS
Fed Funds</t>
  </si>
  <si>
    <t>USD12ML
3x12 Basis</t>
  </si>
  <si>
    <t>EUROIS
Eonia</t>
  </si>
  <si>
    <t>EUR3ML
Swaps</t>
  </si>
  <si>
    <t>EUR6ML
Swaps</t>
  </si>
  <si>
    <t>EUR1ML
1x3 Basis</t>
  </si>
  <si>
    <t>EUR6ML
6x12 Basis</t>
  </si>
  <si>
    <t>GBPOIS
Sonia</t>
  </si>
  <si>
    <t>GBP3ML
Swaps</t>
  </si>
  <si>
    <t>GBP1ML
1x3 Basis</t>
  </si>
  <si>
    <t>GBP6ML
3x6 Basis</t>
  </si>
  <si>
    <t>GBP12ML
6x12 Basis</t>
  </si>
  <si>
    <t>JPYOIS
Tonar</t>
  </si>
  <si>
    <t>JPY6ML
Swaps</t>
  </si>
  <si>
    <t>JPY3ML
3x6 Basis</t>
  </si>
  <si>
    <t>JPY1ML
1x6 Basis</t>
  </si>
  <si>
    <t>Chart Data</t>
  </si>
  <si>
    <t>Term (Years)</t>
  </si>
  <si>
    <t>SOFR Curve Instruments</t>
  </si>
  <si>
    <t>Market Swap Quotes</t>
  </si>
  <si>
    <t>T e n o r      B a s i s</t>
  </si>
  <si>
    <t>O u t r i g h t s</t>
  </si>
  <si>
    <t xml:space="preserve">I n s t r u m e n t s </t>
  </si>
  <si>
    <t>I n s t r u m e n t</t>
  </si>
  <si>
    <t>T e n o r   B a s i s</t>
  </si>
  <si>
    <t>Simultaneous Build</t>
  </si>
  <si>
    <t>EUR6ML Swaps</t>
  </si>
  <si>
    <t>EUR12ML
6x12 Basis</t>
  </si>
  <si>
    <t>GBP 6ML
3x6 Basis</t>
  </si>
  <si>
    <t>USD3ML
Swaps</t>
  </si>
  <si>
    <t>Interpolation Style</t>
  </si>
  <si>
    <t>… Market Data Data</t>
  </si>
  <si>
    <t>… Chart Parameters</t>
  </si>
  <si>
    <t>… Calibration Instruments</t>
  </si>
  <si>
    <t xml:space="preserve">MPC Swaps </t>
  </si>
  <si>
    <t>Futures</t>
  </si>
  <si>
    <t>SOFR Swaps</t>
  </si>
  <si>
    <t>SOFR Swaps &amp; Tenor Basis - Spline</t>
  </si>
  <si>
    <t>Advanced SOFR Data</t>
  </si>
  <si>
    <t>SOFR Curve Definition</t>
  </si>
  <si>
    <t>SOFR Curve Definition with Interpolation</t>
  </si>
  <si>
    <t>Basic SOFR Curve Definition</t>
  </si>
  <si>
    <t>Cash Deposit</t>
  </si>
  <si>
    <t>MPC Swap</t>
  </si>
  <si>
    <t>Future1</t>
  </si>
  <si>
    <t>3Y</t>
  </si>
  <si>
    <t>Cash Deposit - Linear</t>
  </si>
  <si>
    <t xml:space="preserve"> </t>
  </si>
  <si>
    <t>*</t>
  </si>
  <si>
    <t>**</t>
  </si>
  <si>
    <r>
      <t xml:space="preserve">* SOFR Swap Level </t>
    </r>
    <r>
      <rPr>
        <sz val="11"/>
        <color theme="0" tint="-0.499984740745262"/>
        <rFont val="Calibri"/>
        <family val="2"/>
      </rPr>
      <t>≠ SOFR-OIS Basis Level</t>
    </r>
  </si>
  <si>
    <r>
      <t xml:space="preserve">** SOFR Swap Level </t>
    </r>
    <r>
      <rPr>
        <sz val="11"/>
        <color theme="0" tint="-0.499984740745262"/>
        <rFont val="Calibri"/>
        <family val="2"/>
      </rPr>
      <t>≠ SOFR-LIBOR Basis Level</t>
    </r>
  </si>
  <si>
    <t>Basic SOFR Curve</t>
  </si>
  <si>
    <t>Blend Weight (%)</t>
  </si>
  <si>
    <t>Estimated Difference</t>
  </si>
  <si>
    <t>Outright vs Basis (%)</t>
  </si>
  <si>
    <t>LIBOR-OIS Basis Swap</t>
  </si>
  <si>
    <t>Future2</t>
  </si>
  <si>
    <t>Future3</t>
  </si>
  <si>
    <t>Future4</t>
  </si>
  <si>
    <t>Future5</t>
  </si>
  <si>
    <t>Future6</t>
  </si>
  <si>
    <t>OIS Curve (1D)</t>
  </si>
  <si>
    <t>Swap Curve (USD3ML)</t>
  </si>
  <si>
    <t>Tenor-Basis Curve (USD6ML)</t>
  </si>
  <si>
    <t>Tenor</t>
  </si>
  <si>
    <t>6M</t>
  </si>
  <si>
    <t>SEP-19</t>
  </si>
  <si>
    <t>DEC-19</t>
  </si>
  <si>
    <t>MAR-20</t>
  </si>
  <si>
    <t>JUN-20</t>
  </si>
  <si>
    <t>SEP-20</t>
  </si>
  <si>
    <t>DEC-20</t>
  </si>
  <si>
    <t>18M</t>
  </si>
  <si>
    <t>LIBOR Basis Swap (3X6)</t>
  </si>
  <si>
    <t>SOFR Curve</t>
  </si>
  <si>
    <t>3 Month
IBOR Fixing</t>
  </si>
  <si>
    <t>Start of Interest
Period</t>
  </si>
  <si>
    <t>End of Interest
Period</t>
  </si>
  <si>
    <t>3 Months</t>
  </si>
  <si>
    <t>-2 Business Days</t>
  </si>
  <si>
    <t>3 Month IBOR</t>
  </si>
  <si>
    <t>3 Month Risk-Free Rate</t>
  </si>
  <si>
    <t xml:space="preserve">     USD3ML Swaps</t>
  </si>
  <si>
    <t>Term Rate Fixed In-Advance</t>
  </si>
  <si>
    <t>Daily O/N Fixings leading to an Averaged Effective Rate</t>
  </si>
  <si>
    <t>Rate:</t>
  </si>
  <si>
    <t>Coupon:</t>
  </si>
  <si>
    <t>Determined in Advance</t>
  </si>
  <si>
    <t>Determined in Arrears</t>
  </si>
  <si>
    <t>Fixed Leg</t>
  </si>
  <si>
    <t>PV Fixed:</t>
  </si>
  <si>
    <t>Float Leg</t>
  </si>
  <si>
    <t>PV Float:</t>
  </si>
  <si>
    <t>Accrual Start</t>
  </si>
  <si>
    <t>Accrual End</t>
  </si>
  <si>
    <t>Pay Date</t>
  </si>
  <si>
    <r>
      <t>t</t>
    </r>
    <r>
      <rPr>
        <vertAlign val="subscript"/>
        <sz val="11"/>
        <color theme="1"/>
        <rFont val="Calibri"/>
        <family val="2"/>
        <scheme val="minor"/>
      </rPr>
      <t>i</t>
    </r>
  </si>
  <si>
    <t>N</t>
  </si>
  <si>
    <r>
      <t>r</t>
    </r>
    <r>
      <rPr>
        <vertAlign val="superscript"/>
        <sz val="11"/>
        <color theme="1"/>
        <rFont val="Calibri"/>
        <family val="2"/>
        <scheme val="minor"/>
      </rPr>
      <t>Fixed</t>
    </r>
  </si>
  <si>
    <r>
      <rPr>
        <sz val="11"/>
        <color theme="1"/>
        <rFont val="Symbol"/>
        <family val="1"/>
        <charset val="2"/>
      </rPr>
      <t>t</t>
    </r>
    <r>
      <rPr>
        <vertAlign val="subscript"/>
        <sz val="11"/>
        <color theme="1"/>
        <rFont val="Calibri"/>
        <family val="2"/>
        <scheme val="minor"/>
      </rPr>
      <t>i</t>
    </r>
  </si>
  <si>
    <r>
      <t>P( t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, t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)</t>
    </r>
  </si>
  <si>
    <r>
      <t>PV</t>
    </r>
    <r>
      <rPr>
        <vertAlign val="superscript"/>
        <sz val="11"/>
        <color theme="1"/>
        <rFont val="Calibri"/>
        <family val="2"/>
        <scheme val="minor"/>
      </rPr>
      <t>Fixed</t>
    </r>
  </si>
  <si>
    <t>Fixing Date</t>
  </si>
  <si>
    <r>
      <t>t</t>
    </r>
    <r>
      <rPr>
        <vertAlign val="subscript"/>
        <sz val="11"/>
        <color theme="1"/>
        <rFont val="Calibri"/>
        <family val="2"/>
        <scheme val="minor"/>
      </rPr>
      <t>j</t>
    </r>
  </si>
  <si>
    <r>
      <t>l</t>
    </r>
    <r>
      <rPr>
        <vertAlign val="subscript"/>
        <sz val="11"/>
        <color theme="1"/>
        <rFont val="Calibri"/>
        <family val="2"/>
        <scheme val="minor"/>
      </rPr>
      <t>j-1</t>
    </r>
  </si>
  <si>
    <t>s</t>
  </si>
  <si>
    <r>
      <t>l</t>
    </r>
    <r>
      <rPr>
        <vertAlign val="subscript"/>
        <sz val="11"/>
        <color theme="1"/>
        <rFont val="Calibri"/>
        <family val="2"/>
        <scheme val="minor"/>
      </rPr>
      <t>j-1</t>
    </r>
    <r>
      <rPr>
        <sz val="11"/>
        <color theme="1"/>
        <rFont val="Calibri"/>
        <family val="2"/>
        <scheme val="minor"/>
      </rPr>
      <t xml:space="preserve"> + s</t>
    </r>
  </si>
  <si>
    <r>
      <rPr>
        <sz val="11"/>
        <color theme="1"/>
        <rFont val="Symbol"/>
        <family val="1"/>
        <charset val="2"/>
      </rPr>
      <t>t</t>
    </r>
    <r>
      <rPr>
        <vertAlign val="subscript"/>
        <sz val="11"/>
        <color theme="1"/>
        <rFont val="Calibri"/>
        <family val="2"/>
        <scheme val="minor"/>
      </rPr>
      <t>j</t>
    </r>
  </si>
  <si>
    <r>
      <t>P( t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, tj )</t>
    </r>
  </si>
  <si>
    <r>
      <t>PV</t>
    </r>
    <r>
      <rPr>
        <vertAlign val="superscript"/>
        <sz val="11"/>
        <color theme="1"/>
        <rFont val="Calibri"/>
        <family val="2"/>
        <scheme val="minor"/>
      </rPr>
      <t>Float</t>
    </r>
  </si>
  <si>
    <t>EUR 1MM  Fixed 0.3670% vs EUR6ML 5 Year</t>
  </si>
  <si>
    <t>Interest Rate Swap (Par Swap)</t>
  </si>
  <si>
    <t>Par Rate</t>
  </si>
  <si>
    <t>Quoted Par Rate</t>
  </si>
  <si>
    <t>Trade PV</t>
  </si>
  <si>
    <t>Swap Price</t>
  </si>
  <si>
    <t>SOFR Rates &amp; Spikes</t>
  </si>
  <si>
    <t>Par Rate Calculation</t>
  </si>
  <si>
    <t>PV( Fixed Leg )</t>
  </si>
  <si>
    <t>PV( Float Leg )</t>
  </si>
  <si>
    <t>Annuity( Fixed Leg )</t>
  </si>
  <si>
    <r>
      <t xml:space="preserve">Normal to have </t>
    </r>
    <r>
      <rPr>
        <b/>
        <sz val="11"/>
        <color rgb="FF3333FF"/>
        <rFont val="Calibri"/>
        <family val="2"/>
        <scheme val="minor"/>
      </rPr>
      <t>Downward</t>
    </r>
    <r>
      <rPr>
        <sz val="11"/>
        <color theme="1"/>
        <rFont val="Calibri"/>
        <family val="2"/>
        <scheme val="minor"/>
      </rPr>
      <t xml:space="preserve"> Spikes when there are FED Intervention and Open Market Operations</t>
    </r>
  </si>
  <si>
    <r>
      <t xml:space="preserve">Normal to have </t>
    </r>
    <r>
      <rPr>
        <b/>
        <sz val="11"/>
        <color rgb="FFFF0000"/>
        <rFont val="Calibri"/>
        <family val="2"/>
        <scheme val="minor"/>
      </rPr>
      <t>Upward</t>
    </r>
    <r>
      <rPr>
        <sz val="11"/>
        <color theme="1"/>
        <rFont val="Calibri"/>
        <family val="2"/>
        <scheme val="minor"/>
      </rPr>
      <t xml:space="preserve"> Spikes when there are FED Intervention and Open Market Operations</t>
    </r>
  </si>
  <si>
    <t>FED Fund Rates and Spiles</t>
  </si>
  <si>
    <t>Impact of SOFR Spikes on SOFR 1M and 3M Compound Rates</t>
  </si>
  <si>
    <t>EONIA O/N Rate with Spikes</t>
  </si>
  <si>
    <t>Swap</t>
  </si>
  <si>
    <t>Row</t>
  </si>
  <si>
    <t>ti</t>
  </si>
  <si>
    <t>PVFixed</t>
  </si>
  <si>
    <t>lj-1</t>
  </si>
  <si>
    <t>PVFloat</t>
  </si>
  <si>
    <t>PV Total</t>
  </si>
  <si>
    <t>Pay Fixed Leg</t>
  </si>
  <si>
    <t>Receive Float Leg</t>
  </si>
  <si>
    <r>
      <t>P( t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, t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)</t>
    </r>
  </si>
  <si>
    <t>Calibration Inputs</t>
  </si>
  <si>
    <t>Calibration Outputs</t>
  </si>
  <si>
    <t>ParRate, p</t>
  </si>
  <si>
    <t>** Solve for the Libor rate that makes the Trade PV = 0, i.e. PV(Fixed)=PV(Float)</t>
  </si>
  <si>
    <t>* From previous swap result, since we are bootstrapping</t>
  </si>
  <si>
    <t>Yield Curve Calibration - Example USD3ML</t>
  </si>
  <si>
    <r>
      <t>P(0,t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>) +</t>
    </r>
  </si>
  <si>
    <t>Simplified toy example for USD3ML using Annual Swaps. We bootstrap swaps  and assume</t>
  </si>
  <si>
    <t>we have already bootrapped the USDOIS curve and implied the OIS curve discount factors.</t>
  </si>
  <si>
    <r>
      <t>Forwards, l</t>
    </r>
    <r>
      <rPr>
        <b/>
        <vertAlign val="subscript"/>
        <sz val="11"/>
        <color theme="1"/>
        <rFont val="Calibri"/>
        <family val="2"/>
        <scheme val="minor"/>
      </rPr>
      <t>j</t>
    </r>
  </si>
  <si>
    <t>Piecewise-Constant with Jumps</t>
  </si>
  <si>
    <r>
      <t>+ OIS Discount Factors, P(0,t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)</t>
    </r>
  </si>
  <si>
    <t>Bloomberg: USD3ML</t>
  </si>
  <si>
    <r>
      <t>P( t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, t</t>
    </r>
    <r>
      <rPr>
        <vertAlign val="subscript"/>
        <sz val="11"/>
        <color theme="1"/>
        <rFont val="Calibri"/>
        <family val="2"/>
        <scheme val="minor"/>
      </rPr>
      <t>j</t>
    </r>
    <r>
      <rPr>
        <sz val="11"/>
        <color theme="1"/>
        <rFont val="Calibri"/>
        <family val="2"/>
        <scheme val="minor"/>
      </rPr>
      <t xml:space="preserve"> )</t>
    </r>
  </si>
  <si>
    <t>ON</t>
  </si>
  <si>
    <t>1W</t>
  </si>
  <si>
    <t>2W</t>
  </si>
  <si>
    <t>3W</t>
  </si>
  <si>
    <t>1M</t>
  </si>
  <si>
    <t>2M</t>
  </si>
  <si>
    <t>4M</t>
  </si>
  <si>
    <t>5M</t>
  </si>
  <si>
    <t>9M</t>
  </si>
  <si>
    <t>USD OIS</t>
  </si>
  <si>
    <t>FUTURES</t>
  </si>
  <si>
    <t>SWAPS</t>
  </si>
  <si>
    <t>Volatility</t>
  </si>
  <si>
    <t>12M</t>
  </si>
  <si>
    <t>8Y</t>
  </si>
  <si>
    <t>9Y</t>
  </si>
  <si>
    <t>25Y</t>
  </si>
  <si>
    <t xml:space="preserve">ED1 </t>
  </si>
  <si>
    <t xml:space="preserve">ED2 </t>
  </si>
  <si>
    <t xml:space="preserve">ED3 </t>
  </si>
  <si>
    <t xml:space="preserve">ED4 </t>
  </si>
  <si>
    <t xml:space="preserve">ED5 </t>
  </si>
  <si>
    <t xml:space="preserve">ED6 </t>
  </si>
  <si>
    <t xml:space="preserve">ED7 </t>
  </si>
  <si>
    <t xml:space="preserve">ED8 </t>
  </si>
  <si>
    <t>USD 3ML</t>
  </si>
  <si>
    <t>Contract</t>
  </si>
  <si>
    <t>LIBOR-OIS BASIS</t>
  </si>
  <si>
    <t>USD 6ML</t>
  </si>
  <si>
    <t>6Y</t>
  </si>
  <si>
    <t>BASIS SWAPS</t>
  </si>
  <si>
    <t>USD 1ML</t>
  </si>
  <si>
    <t>USD 12ML</t>
  </si>
  <si>
    <t>LIBOR FIXING</t>
  </si>
  <si>
    <t>No. Instruments</t>
  </si>
  <si>
    <t>No. Libor Rates Required for Pricing</t>
  </si>
  <si>
    <t>Max Tenor in Years</t>
  </si>
  <si>
    <t>No. Libor Rates Req'd Per Year</t>
  </si>
  <si>
    <t>No. Discount Factors Required for Pricing</t>
  </si>
  <si>
    <t>Total No. Instruments Required</t>
  </si>
  <si>
    <t>No. USD OIS Instruments</t>
  </si>
  <si>
    <t>No. USD 1ML Instruments</t>
  </si>
  <si>
    <t>No. USD 3ML Instruments</t>
  </si>
  <si>
    <t>No. USD 6ML Instruments</t>
  </si>
  <si>
    <t>No. USD 12ML Instruments</t>
  </si>
  <si>
    <t>USD Curve Calibration Instruments &amp; Statistics</t>
  </si>
  <si>
    <t>OIS SWAPS</t>
  </si>
  <si>
    <t>… Statistics</t>
  </si>
  <si>
    <t>OIS Curve</t>
  </si>
  <si>
    <t>Swap Curve</t>
  </si>
  <si>
    <t>Tenor Basis Curve</t>
  </si>
  <si>
    <t>Outright Instrument Curves</t>
  </si>
  <si>
    <t>Basis Instrument Curves</t>
  </si>
  <si>
    <r>
      <rPr>
        <b/>
        <sz val="11"/>
        <color rgb="FF3333FF"/>
        <rFont val="Calibri"/>
        <family val="2"/>
        <scheme val="minor"/>
      </rPr>
      <t>USD 6ML</t>
    </r>
    <r>
      <rPr>
        <b/>
        <sz val="11"/>
        <color theme="1"/>
        <rFont val="Calibri"/>
        <family val="2"/>
        <scheme val="minor"/>
      </rPr>
      <t xml:space="preserve"> Calibration  Instruments &amp; Statistics</t>
    </r>
  </si>
  <si>
    <r>
      <rPr>
        <b/>
        <sz val="11"/>
        <color rgb="FF3333FF"/>
        <rFont val="Calibri"/>
        <family val="2"/>
        <scheme val="minor"/>
      </rPr>
      <t>USD 1ML</t>
    </r>
    <r>
      <rPr>
        <b/>
        <sz val="11"/>
        <color theme="1"/>
        <rFont val="Calibri"/>
        <family val="2"/>
        <scheme val="minor"/>
      </rPr>
      <t xml:space="preserve"> Calibration  Instruments &amp; Statistics</t>
    </r>
  </si>
  <si>
    <r>
      <rPr>
        <b/>
        <sz val="11"/>
        <color rgb="FF3333FF"/>
        <rFont val="Calibri"/>
        <family val="2"/>
        <scheme val="minor"/>
      </rPr>
      <t>USD 12ML</t>
    </r>
    <r>
      <rPr>
        <b/>
        <sz val="11"/>
        <color theme="1"/>
        <rFont val="Calibri"/>
        <family val="2"/>
        <scheme val="minor"/>
      </rPr>
      <t xml:space="preserve"> Calibration  Instruments &amp; Statistics</t>
    </r>
  </si>
  <si>
    <r>
      <rPr>
        <b/>
        <sz val="11"/>
        <color rgb="FF3333FF"/>
        <rFont val="Calibri"/>
        <family val="2"/>
        <scheme val="minor"/>
      </rPr>
      <t>USD OIS</t>
    </r>
    <r>
      <rPr>
        <b/>
        <sz val="11"/>
        <color theme="1"/>
        <rFont val="Calibri"/>
        <family val="2"/>
        <scheme val="minor"/>
      </rPr>
      <t xml:space="preserve"> Calibration  Instruments &amp; Statistics</t>
    </r>
  </si>
  <si>
    <r>
      <rPr>
        <b/>
        <sz val="11"/>
        <color rgb="FF3333FF"/>
        <rFont val="Calibri"/>
        <family val="2"/>
        <scheme val="minor"/>
      </rPr>
      <t>USD 3ML</t>
    </r>
    <r>
      <rPr>
        <b/>
        <sz val="11"/>
        <color theme="1"/>
        <rFont val="Calibri"/>
        <family val="2"/>
        <scheme val="minor"/>
      </rPr>
      <t xml:space="preserve"> Calibration  Instruments &amp; Statistics</t>
    </r>
  </si>
  <si>
    <t>USD Curve: Total Statistics</t>
  </si>
  <si>
    <t>https://slideplayer.com/slide/5302065/</t>
  </si>
  <si>
    <t>Par Rates, p</t>
  </si>
  <si>
    <t>+/-</t>
  </si>
  <si>
    <t>Bloomberg USD 5Y Par Swap</t>
  </si>
  <si>
    <t>Floating Cashflows</t>
  </si>
  <si>
    <t>Fixed Cashflows</t>
  </si>
  <si>
    <t>Multi-Dimension Newton-Raphson</t>
  </si>
  <si>
    <t>Convergence Check</t>
  </si>
  <si>
    <t>Bloomberg Curve Par Rate Quotes</t>
  </si>
  <si>
    <t>… Curve</t>
  </si>
  <si>
    <t>… Swap</t>
  </si>
  <si>
    <t>Iteration, n</t>
  </si>
  <si>
    <r>
      <t>L</t>
    </r>
    <r>
      <rPr>
        <vertAlign val="subscript"/>
        <sz val="11"/>
        <color theme="1"/>
        <rFont val="Calibri"/>
        <family val="2"/>
        <scheme val="minor"/>
      </rPr>
      <t>1</t>
    </r>
  </si>
  <si>
    <r>
      <t>L</t>
    </r>
    <r>
      <rPr>
        <vertAlign val="subscript"/>
        <sz val="11"/>
        <color theme="1"/>
        <rFont val="Calibri"/>
        <family val="2"/>
        <scheme val="minor"/>
      </rPr>
      <t>2</t>
    </r>
  </si>
  <si>
    <r>
      <t>L</t>
    </r>
    <r>
      <rPr>
        <vertAlign val="subscript"/>
        <sz val="11"/>
        <color theme="1"/>
        <rFont val="Calibri"/>
        <family val="2"/>
        <scheme val="minor"/>
      </rPr>
      <t>3</t>
    </r>
  </si>
  <si>
    <r>
      <t>L</t>
    </r>
    <r>
      <rPr>
        <vertAlign val="subscript"/>
        <sz val="11"/>
        <color theme="1"/>
        <rFont val="Calibri"/>
        <family val="2"/>
        <scheme val="minor"/>
      </rPr>
      <t>4</t>
    </r>
  </si>
  <si>
    <r>
      <t>L</t>
    </r>
    <r>
      <rPr>
        <vertAlign val="subscript"/>
        <sz val="11"/>
        <color theme="1"/>
        <rFont val="Calibri"/>
        <family val="2"/>
        <scheme val="minor"/>
      </rPr>
      <t>5</t>
    </r>
  </si>
  <si>
    <t>... Solver Formula</t>
  </si>
  <si>
    <t>Converged to Solution</t>
  </si>
  <si>
    <r>
      <t>f</t>
    </r>
    <r>
      <rPr>
        <vertAlign val="subscript"/>
        <sz val="11"/>
        <color theme="1"/>
        <rFont val="Calibri"/>
        <family val="2"/>
        <scheme val="minor"/>
      </rPr>
      <t>1</t>
    </r>
  </si>
  <si>
    <r>
      <t>f</t>
    </r>
    <r>
      <rPr>
        <vertAlign val="subscript"/>
        <sz val="11"/>
        <color theme="1"/>
        <rFont val="Calibri"/>
        <family val="2"/>
        <scheme val="minor"/>
      </rPr>
      <t>2</t>
    </r>
  </si>
  <si>
    <r>
      <t>f</t>
    </r>
    <r>
      <rPr>
        <vertAlign val="subscript"/>
        <sz val="11"/>
        <color theme="1"/>
        <rFont val="Calibri"/>
        <family val="2"/>
        <scheme val="minor"/>
      </rPr>
      <t>3</t>
    </r>
  </si>
  <si>
    <r>
      <t>f</t>
    </r>
    <r>
      <rPr>
        <vertAlign val="subscript"/>
        <sz val="11"/>
        <color theme="1"/>
        <rFont val="Calibri"/>
        <family val="2"/>
        <scheme val="minor"/>
      </rPr>
      <t>4</t>
    </r>
  </si>
  <si>
    <r>
      <t>f</t>
    </r>
    <r>
      <rPr>
        <vertAlign val="subscript"/>
        <sz val="11"/>
        <color theme="1"/>
        <rFont val="Calibri"/>
        <family val="2"/>
        <scheme val="minor"/>
      </rPr>
      <t>5</t>
    </r>
  </si>
  <si>
    <r>
      <t>Inverse J  =  Inverse f '( X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)</t>
    </r>
  </si>
  <si>
    <r>
      <t>f( X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)</t>
    </r>
  </si>
  <si>
    <r>
      <t>X</t>
    </r>
    <r>
      <rPr>
        <vertAlign val="subscript"/>
        <sz val="11"/>
        <color theme="1"/>
        <rFont val="Calibri"/>
        <family val="2"/>
        <scheme val="minor"/>
      </rPr>
      <t>n</t>
    </r>
  </si>
  <si>
    <r>
      <t>X</t>
    </r>
    <r>
      <rPr>
        <vertAlign val="subscript"/>
        <sz val="11"/>
        <color theme="1"/>
        <rFont val="Calibri"/>
        <family val="2"/>
        <scheme val="minor"/>
      </rPr>
      <t>n+1</t>
    </r>
  </si>
  <si>
    <r>
      <t>Initial Guess, X</t>
    </r>
    <r>
      <rPr>
        <vertAlign val="subscript"/>
        <sz val="11"/>
        <color theme="1"/>
        <rFont val="Calibri"/>
        <family val="2"/>
        <scheme val="minor"/>
      </rPr>
      <t>0</t>
    </r>
  </si>
  <si>
    <t>OIS Curve Results</t>
  </si>
  <si>
    <r>
      <t>Discount Factors, P(t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)</t>
    </r>
  </si>
  <si>
    <t>Newton-Rapshon Formula</t>
  </si>
  <si>
    <t>Annuity</t>
  </si>
  <si>
    <t>ShiftSize</t>
  </si>
  <si>
    <t>dP</t>
  </si>
  <si>
    <t>PV01 *</t>
  </si>
  <si>
    <t>Original Libor Rate</t>
  </si>
  <si>
    <t>New
Libor Rate</t>
  </si>
  <si>
    <t>Change in Mkt Data</t>
  </si>
  <si>
    <t>PV01 = Shift Size . J . Annuity</t>
  </si>
  <si>
    <t>Derivative Matrices</t>
  </si>
  <si>
    <t>Usefulness of Jacobian, J</t>
  </si>
  <si>
    <r>
      <t>L</t>
    </r>
    <r>
      <rPr>
        <i/>
        <vertAlign val="subscript"/>
        <sz val="14"/>
        <color rgb="FF0000FF"/>
        <rFont val="Calibri"/>
        <family val="2"/>
        <scheme val="minor"/>
      </rPr>
      <t>NEW</t>
    </r>
    <r>
      <rPr>
        <i/>
        <sz val="14"/>
        <color rgb="FF0000FF"/>
        <rFont val="Calibri"/>
        <family val="2"/>
        <scheme val="minor"/>
      </rPr>
      <t xml:space="preserve"> = L</t>
    </r>
    <r>
      <rPr>
        <i/>
        <vertAlign val="subscript"/>
        <sz val="14"/>
        <color rgb="FF0000FF"/>
        <rFont val="Calibri"/>
        <family val="2"/>
        <scheme val="minor"/>
      </rPr>
      <t>OLD</t>
    </r>
    <r>
      <rPr>
        <i/>
        <sz val="14"/>
        <color rgb="FF0000FF"/>
        <rFont val="Calibri"/>
        <family val="2"/>
        <scheme val="minor"/>
      </rPr>
      <t xml:space="preserve"> + Mkt Data Chg . J</t>
    </r>
    <r>
      <rPr>
        <i/>
        <vertAlign val="subscript"/>
        <sz val="14"/>
        <color rgb="FF0000FF"/>
        <rFont val="Calibri"/>
        <family val="2"/>
        <scheme val="minor"/>
      </rPr>
      <t>OLD</t>
    </r>
  </si>
  <si>
    <r>
      <rPr>
        <sz val="14"/>
        <color rgb="FF0000FF"/>
        <rFont val="Calibri"/>
        <family val="2"/>
        <scheme val="minor"/>
      </rPr>
      <t xml:space="preserve">1.   </t>
    </r>
    <r>
      <rPr>
        <u/>
        <sz val="14"/>
        <color rgb="FF0000FF"/>
        <rFont val="Calibri"/>
        <family val="2"/>
        <scheme val="minor"/>
      </rPr>
      <t>Analytical Risk</t>
    </r>
  </si>
  <si>
    <r>
      <rPr>
        <sz val="14"/>
        <color rgb="FF0000FF"/>
        <rFont val="Calibri"/>
        <family val="2"/>
        <scheme val="minor"/>
      </rPr>
      <t xml:space="preserve">2.   </t>
    </r>
    <r>
      <rPr>
        <u/>
        <sz val="14"/>
        <color rgb="FF0000FF"/>
        <rFont val="Calibri"/>
        <family val="2"/>
        <scheme val="minor"/>
      </rPr>
      <t>Ultra-Fast Yield Curves</t>
    </r>
  </si>
  <si>
    <t>* PV01 = PV Change for 1 Basis Point Libor Rate Change</t>
  </si>
  <si>
    <r>
      <t xml:space="preserve">where </t>
    </r>
    <r>
      <rPr>
        <u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= { L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, L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, L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, L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, L</t>
    </r>
    <r>
      <rPr>
        <vertAlign val="subscript"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 } </t>
    </r>
  </si>
  <si>
    <r>
      <t>J =  f '( X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) = dp/dL</t>
    </r>
  </si>
  <si>
    <t>Bloomberg EUR 5Y Par Swap</t>
  </si>
  <si>
    <r>
      <t>and f(</t>
    </r>
    <r>
      <rPr>
        <u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) = { p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, p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, p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, p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, p</t>
    </r>
    <r>
      <rPr>
        <vertAlign val="subscript"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 }</t>
    </r>
  </si>
  <si>
    <t>EUR3ML Curve Market Data</t>
  </si>
  <si>
    <t>USD3ML Curve Market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</si>
</sst>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000%"/>
    <numFmt numFmtId="165" formatCode="ddd\,\ d\-mmm\-yy"/>
    <numFmt numFmtId="166" formatCode="0.000"/>
    <numFmt numFmtId="167" formatCode="#,##0.000"/>
    <numFmt numFmtId="168" formatCode="#,##0.00000"/>
    <numFmt numFmtId="169" formatCode="#,##0.000000"/>
    <numFmt numFmtId="170" formatCode="0.00000%"/>
    <numFmt numFmtId="171" formatCode="0.0E+00"/>
  </numFmts>
  <fonts count="5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rgb="FFC00000"/>
      <name val="Calibri"/>
      <family val="2"/>
      <scheme val="minor"/>
    </font>
    <font>
      <sz val="24"/>
      <color rgb="FF0070C0"/>
      <name val="Calibri"/>
      <family val="2"/>
      <scheme val="minor"/>
    </font>
    <font>
      <sz val="24"/>
      <color rgb="FF00B050"/>
      <name val="Calibri"/>
      <family val="2"/>
      <scheme val="minor"/>
    </font>
    <font>
      <sz val="24"/>
      <color rgb="FF7030A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4"/>
      <color theme="8"/>
      <name val="Calibri"/>
      <family val="2"/>
      <scheme val="minor"/>
    </font>
    <font>
      <b/>
      <sz val="1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24"/>
      <color rgb="FF0070C0"/>
      <name val="Calibri"/>
      <family val="2"/>
      <scheme val="minor"/>
    </font>
    <font>
      <b/>
      <sz val="24"/>
      <color rgb="FF00B05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24"/>
      <color theme="2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b/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rgb="FF008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rgb="FF006600"/>
      <name val="Calibri"/>
      <family val="2"/>
      <scheme val="minor"/>
    </font>
    <font>
      <sz val="11"/>
      <color rgb="FFFF3399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rgb="FF0066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rgb="FFCC00FF"/>
      <name val="Calibri"/>
      <family val="2"/>
      <scheme val="minor"/>
    </font>
    <font>
      <sz val="18"/>
      <color rgb="FF3333FF"/>
      <name val="Calibri"/>
      <family val="2"/>
      <scheme val="minor"/>
    </font>
    <font>
      <sz val="18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4"/>
      <color rgb="FF0000FF"/>
      <name val="Calibri"/>
      <family val="2"/>
      <scheme val="minor"/>
    </font>
    <font>
      <i/>
      <vertAlign val="subscript"/>
      <sz val="14"/>
      <color rgb="FF0000FF"/>
      <name val="Calibri"/>
      <family val="2"/>
      <scheme val="minor"/>
    </font>
    <font>
      <u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99"/>
        <bgColor indexed="64"/>
      </patternFill>
    </fill>
  </fills>
  <borders count="165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ck">
        <color theme="0" tint="-0.499984740745262"/>
      </right>
      <top/>
      <bottom/>
      <diagonal/>
    </border>
    <border>
      <left/>
      <right/>
      <top/>
      <bottom style="thick">
        <color theme="0" tint="-0.499984740745262"/>
      </bottom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 style="thin">
        <color theme="9"/>
      </top>
      <bottom/>
      <diagonal/>
    </border>
    <border>
      <left/>
      <right/>
      <top/>
      <bottom style="thin">
        <color theme="9"/>
      </bottom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theme="8"/>
      </left>
      <right/>
      <top/>
      <bottom/>
      <diagonal/>
    </border>
    <border>
      <left/>
      <right style="thin">
        <color theme="8"/>
      </right>
      <top/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thin">
        <color rgb="FFC00000"/>
      </left>
      <right/>
      <top style="dotted">
        <color rgb="FFC00000"/>
      </top>
      <bottom/>
      <diagonal/>
    </border>
    <border>
      <left/>
      <right/>
      <top style="dotted">
        <color rgb="FFC00000"/>
      </top>
      <bottom/>
      <diagonal/>
    </border>
    <border>
      <left/>
      <right style="thin">
        <color rgb="FFC00000"/>
      </right>
      <top style="dotted">
        <color rgb="FFC00000"/>
      </top>
      <bottom/>
      <diagonal/>
    </border>
    <border>
      <left style="thin">
        <color rgb="FF7030A0"/>
      </left>
      <right/>
      <top style="dotted">
        <color rgb="FF7030A0"/>
      </top>
      <bottom/>
      <diagonal/>
    </border>
    <border>
      <left/>
      <right/>
      <top style="dotted">
        <color rgb="FF7030A0"/>
      </top>
      <bottom/>
      <diagonal/>
    </border>
    <border>
      <left/>
      <right style="thin">
        <color rgb="FF7030A0"/>
      </right>
      <top style="dotted">
        <color rgb="FF7030A0"/>
      </top>
      <bottom/>
      <diagonal/>
    </border>
    <border>
      <left style="thin">
        <color theme="1"/>
      </left>
      <right style="thin">
        <color rgb="FFC00000"/>
      </right>
      <top/>
      <bottom/>
      <diagonal/>
    </border>
    <border>
      <left style="thin">
        <color rgb="FF00B050"/>
      </left>
      <right/>
      <top style="thin">
        <color theme="9"/>
      </top>
      <bottom/>
      <diagonal/>
    </border>
    <border>
      <left/>
      <right style="thin">
        <color theme="1"/>
      </right>
      <top style="thin">
        <color theme="9"/>
      </top>
      <bottom/>
      <diagonal/>
    </border>
    <border>
      <left style="thin">
        <color rgb="FF00B050"/>
      </left>
      <right/>
      <top/>
      <bottom style="thin">
        <color theme="9"/>
      </bottom>
      <diagonal/>
    </border>
    <border>
      <left/>
      <right style="thin">
        <color theme="1"/>
      </right>
      <top/>
      <bottom style="thin">
        <color theme="9"/>
      </bottom>
      <diagonal/>
    </border>
    <border>
      <left/>
      <right style="thin">
        <color theme="1"/>
      </right>
      <top style="thin">
        <color rgb="FFC00000"/>
      </top>
      <bottom/>
      <diagonal/>
    </border>
    <border>
      <left/>
      <right style="thin">
        <color theme="1"/>
      </right>
      <top/>
      <bottom style="thin">
        <color rgb="FFC00000"/>
      </bottom>
      <diagonal/>
    </border>
    <border>
      <left style="thick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 style="dotted">
        <color theme="0" tint="-0.499984740745262"/>
      </top>
      <bottom/>
      <diagonal/>
    </border>
    <border>
      <left/>
      <right/>
      <top style="dotted">
        <color theme="0" tint="-0.499984740745262"/>
      </top>
      <bottom/>
      <diagonal/>
    </border>
    <border>
      <left/>
      <right style="thin">
        <color theme="0" tint="-0.499984740745262"/>
      </right>
      <top style="dotted">
        <color theme="0" tint="-0.499984740745262"/>
      </top>
      <bottom/>
      <diagonal/>
    </border>
    <border>
      <left style="thin">
        <color theme="0" tint="-0.499984740745262"/>
      </left>
      <right/>
      <top/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 style="thin">
        <color theme="0" tint="-0.499984740745262"/>
      </right>
      <top/>
      <bottom style="dotted">
        <color theme="0" tint="-0.499984740745262"/>
      </bottom>
      <diagonal/>
    </border>
    <border>
      <left style="thin">
        <color rgb="FFC00000"/>
      </left>
      <right/>
      <top style="thin">
        <color rgb="FFC00000"/>
      </top>
      <bottom style="dotted">
        <color rgb="FFC00000"/>
      </bottom>
      <diagonal/>
    </border>
    <border>
      <left/>
      <right/>
      <top style="thin">
        <color rgb="FFC00000"/>
      </top>
      <bottom style="dotted">
        <color rgb="FFC00000"/>
      </bottom>
      <diagonal/>
    </border>
    <border>
      <left/>
      <right style="thin">
        <color rgb="FFC00000"/>
      </right>
      <top style="thin">
        <color rgb="FFC00000"/>
      </top>
      <bottom style="dotted">
        <color rgb="FFC00000"/>
      </bottom>
      <diagonal/>
    </border>
    <border>
      <left style="thin">
        <color rgb="FFC00000"/>
      </left>
      <right/>
      <top style="dotted">
        <color rgb="FFC00000"/>
      </top>
      <bottom style="dotted">
        <color rgb="FFC00000"/>
      </bottom>
      <diagonal/>
    </border>
    <border>
      <left/>
      <right/>
      <top style="dotted">
        <color rgb="FFC00000"/>
      </top>
      <bottom style="dotted">
        <color rgb="FFC00000"/>
      </bottom>
      <diagonal/>
    </border>
    <border>
      <left/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rgb="FFC00000"/>
      </left>
      <right/>
      <top style="dotted">
        <color rgb="FFC00000"/>
      </top>
      <bottom style="thin">
        <color rgb="FFC00000"/>
      </bottom>
      <diagonal/>
    </border>
    <border>
      <left/>
      <right/>
      <top style="dotted">
        <color rgb="FFC00000"/>
      </top>
      <bottom style="thin">
        <color rgb="FFC00000"/>
      </bottom>
      <diagonal/>
    </border>
    <border>
      <left/>
      <right style="thin">
        <color rgb="FFC00000"/>
      </right>
      <top style="dotted">
        <color rgb="FFC00000"/>
      </top>
      <bottom style="thin">
        <color rgb="FFC00000"/>
      </bottom>
      <diagonal/>
    </border>
    <border>
      <left style="thin">
        <color rgb="FF0070C0"/>
      </left>
      <right/>
      <top style="thin">
        <color rgb="FF0070C0"/>
      </top>
      <bottom style="dotted">
        <color rgb="FF0070C0"/>
      </bottom>
      <diagonal/>
    </border>
    <border>
      <left/>
      <right/>
      <top style="thin">
        <color rgb="FF0070C0"/>
      </top>
      <bottom style="dotted">
        <color rgb="FF0070C0"/>
      </bottom>
      <diagonal/>
    </border>
    <border>
      <left/>
      <right style="thin">
        <color rgb="FF0070C0"/>
      </right>
      <top style="thin">
        <color rgb="FF0070C0"/>
      </top>
      <bottom style="dotted">
        <color rgb="FF0070C0"/>
      </bottom>
      <diagonal/>
    </border>
    <border>
      <left style="thin">
        <color rgb="FF0070C0"/>
      </left>
      <right/>
      <top style="dotted">
        <color rgb="FF0070C0"/>
      </top>
      <bottom style="dotted">
        <color rgb="FF0070C0"/>
      </bottom>
      <diagonal/>
    </border>
    <border>
      <left/>
      <right/>
      <top style="dotted">
        <color rgb="FF0070C0"/>
      </top>
      <bottom style="dotted">
        <color rgb="FF0070C0"/>
      </bottom>
      <diagonal/>
    </border>
    <border>
      <left/>
      <right style="thin">
        <color rgb="FF0070C0"/>
      </right>
      <top style="dotted">
        <color rgb="FF0070C0"/>
      </top>
      <bottom style="dotted">
        <color rgb="FF0070C0"/>
      </bottom>
      <diagonal/>
    </border>
    <border>
      <left style="thin">
        <color rgb="FF0070C0"/>
      </left>
      <right/>
      <top style="dotted">
        <color rgb="FF0070C0"/>
      </top>
      <bottom style="thin">
        <color rgb="FF0070C0"/>
      </bottom>
      <diagonal/>
    </border>
    <border>
      <left/>
      <right/>
      <top style="dotted">
        <color rgb="FF0070C0"/>
      </top>
      <bottom style="thin">
        <color rgb="FF0070C0"/>
      </bottom>
      <diagonal/>
    </border>
    <border>
      <left/>
      <right style="thin">
        <color rgb="FF0070C0"/>
      </right>
      <top style="dotted">
        <color rgb="FF0070C0"/>
      </top>
      <bottom style="thin">
        <color rgb="FF0070C0"/>
      </bottom>
      <diagonal/>
    </border>
    <border>
      <left style="thin">
        <color rgb="FF00B050"/>
      </left>
      <right/>
      <top style="thin">
        <color rgb="FF00B050"/>
      </top>
      <bottom style="dotted">
        <color rgb="FF00B050"/>
      </bottom>
      <diagonal/>
    </border>
    <border>
      <left/>
      <right/>
      <top style="thin">
        <color rgb="FF00B050"/>
      </top>
      <bottom style="dotted">
        <color rgb="FF00B050"/>
      </bottom>
      <diagonal/>
    </border>
    <border>
      <left/>
      <right style="thin">
        <color rgb="FF00B050"/>
      </right>
      <top style="thin">
        <color rgb="FF00B050"/>
      </top>
      <bottom style="dotted">
        <color rgb="FF00B050"/>
      </bottom>
      <diagonal/>
    </border>
    <border>
      <left style="thin">
        <color rgb="FF00B050"/>
      </left>
      <right/>
      <top style="dotted">
        <color rgb="FF00B050"/>
      </top>
      <bottom style="dotted">
        <color rgb="FF00B050"/>
      </bottom>
      <diagonal/>
    </border>
    <border>
      <left/>
      <right/>
      <top style="dotted">
        <color rgb="FF00B050"/>
      </top>
      <bottom style="dotted">
        <color rgb="FF00B050"/>
      </bottom>
      <diagonal/>
    </border>
    <border>
      <left/>
      <right style="thin">
        <color rgb="FF00B050"/>
      </right>
      <top style="dotted">
        <color rgb="FF00B050"/>
      </top>
      <bottom style="dotted">
        <color rgb="FF00B050"/>
      </bottom>
      <diagonal/>
    </border>
    <border>
      <left style="thin">
        <color rgb="FF00B050"/>
      </left>
      <right/>
      <top style="dotted">
        <color rgb="FF00B050"/>
      </top>
      <bottom style="thin">
        <color rgb="FF00B050"/>
      </bottom>
      <diagonal/>
    </border>
    <border>
      <left/>
      <right/>
      <top style="dotted">
        <color rgb="FF00B050"/>
      </top>
      <bottom style="thin">
        <color rgb="FF00B050"/>
      </bottom>
      <diagonal/>
    </border>
    <border>
      <left/>
      <right style="thin">
        <color rgb="FF00B050"/>
      </right>
      <top style="dotted">
        <color rgb="FF00B050"/>
      </top>
      <bottom style="thin">
        <color rgb="FF00B050"/>
      </bottom>
      <diagonal/>
    </border>
    <border>
      <left style="thin">
        <color rgb="FF7030A0"/>
      </left>
      <right/>
      <top style="thin">
        <color rgb="FF7030A0"/>
      </top>
      <bottom style="dotted">
        <color rgb="FF7030A0"/>
      </bottom>
      <diagonal/>
    </border>
    <border>
      <left/>
      <right/>
      <top style="thin">
        <color rgb="FF7030A0"/>
      </top>
      <bottom style="dotted">
        <color rgb="FF7030A0"/>
      </bottom>
      <diagonal/>
    </border>
    <border>
      <left/>
      <right style="thin">
        <color rgb="FF7030A0"/>
      </right>
      <top style="thin">
        <color rgb="FF7030A0"/>
      </top>
      <bottom style="dotted">
        <color rgb="FF7030A0"/>
      </bottom>
      <diagonal/>
    </border>
    <border>
      <left style="thin">
        <color rgb="FF7030A0"/>
      </left>
      <right/>
      <top style="dotted">
        <color rgb="FF7030A0"/>
      </top>
      <bottom style="dotted">
        <color rgb="FF7030A0"/>
      </bottom>
      <diagonal/>
    </border>
    <border>
      <left/>
      <right/>
      <top style="dotted">
        <color rgb="FF7030A0"/>
      </top>
      <bottom style="dotted">
        <color rgb="FF7030A0"/>
      </bottom>
      <diagonal/>
    </border>
    <border>
      <left/>
      <right style="thin">
        <color rgb="FF7030A0"/>
      </right>
      <top style="dotted">
        <color rgb="FF7030A0"/>
      </top>
      <bottom style="dotted">
        <color rgb="FF7030A0"/>
      </bottom>
      <diagonal/>
    </border>
    <border>
      <left style="thin">
        <color rgb="FF7030A0"/>
      </left>
      <right/>
      <top style="dotted">
        <color rgb="FF7030A0"/>
      </top>
      <bottom style="thin">
        <color rgb="FF7030A0"/>
      </bottom>
      <diagonal/>
    </border>
    <border>
      <left/>
      <right/>
      <top style="dotted">
        <color rgb="FF7030A0"/>
      </top>
      <bottom style="thin">
        <color rgb="FF7030A0"/>
      </bottom>
      <diagonal/>
    </border>
    <border>
      <left/>
      <right style="thin">
        <color rgb="FF7030A0"/>
      </right>
      <top style="dotted">
        <color rgb="FF7030A0"/>
      </top>
      <bottom style="thin">
        <color rgb="FF7030A0"/>
      </bottom>
      <diagonal/>
    </border>
    <border>
      <left style="thin">
        <color rgb="FF0070C0"/>
      </left>
      <right/>
      <top style="dotted">
        <color rgb="FF0070C0"/>
      </top>
      <bottom/>
      <diagonal/>
    </border>
    <border>
      <left/>
      <right/>
      <top style="dotted">
        <color rgb="FF0070C0"/>
      </top>
      <bottom/>
      <diagonal/>
    </border>
    <border>
      <left/>
      <right style="thin">
        <color rgb="FF0070C0"/>
      </right>
      <top style="dotted">
        <color rgb="FF0070C0"/>
      </top>
      <bottom/>
      <diagonal/>
    </border>
    <border>
      <left style="thin">
        <color rgb="FF00B050"/>
      </left>
      <right/>
      <top style="dotted">
        <color rgb="FF00B050"/>
      </top>
      <bottom/>
      <diagonal/>
    </border>
    <border>
      <left/>
      <right/>
      <top style="dotted">
        <color rgb="FF00B050"/>
      </top>
      <bottom/>
      <diagonal/>
    </border>
    <border>
      <left/>
      <right style="thin">
        <color rgb="FF00B050"/>
      </right>
      <top style="dotted">
        <color rgb="FF00B050"/>
      </top>
      <bottom/>
      <diagonal/>
    </border>
    <border>
      <left/>
      <right/>
      <top/>
      <bottom style="medium">
        <color theme="0" tint="-0.499984740745262"/>
      </bottom>
      <diagonal/>
    </border>
    <border>
      <left/>
      <right style="thick">
        <color theme="3"/>
      </right>
      <top/>
      <bottom/>
      <diagonal/>
    </border>
    <border>
      <left/>
      <right/>
      <top/>
      <bottom style="thick">
        <color theme="3"/>
      </bottom>
      <diagonal/>
    </border>
    <border>
      <left/>
      <right style="thick">
        <color theme="3"/>
      </right>
      <top/>
      <bottom style="thick">
        <color theme="3"/>
      </bottom>
      <diagonal/>
    </border>
    <border>
      <left/>
      <right/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/>
      <diagonal/>
    </border>
    <border>
      <left style="thick">
        <color theme="3"/>
      </left>
      <right/>
      <top/>
      <bottom style="thick">
        <color theme="3"/>
      </bottom>
      <diagonal/>
    </border>
    <border>
      <left style="thick">
        <color theme="3"/>
      </left>
      <right/>
      <top style="thick">
        <color theme="3"/>
      </top>
      <bottom/>
      <diagonal/>
    </border>
    <border>
      <left style="thick">
        <color theme="3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dotted">
        <color theme="0" tint="-0.24994659260841701"/>
      </bottom>
      <diagonal/>
    </border>
    <border>
      <left style="thin">
        <color theme="0" tint="-0.24994659260841701"/>
      </left>
      <right/>
      <top/>
      <bottom style="dotted">
        <color theme="0" tint="-0.24994659260841701"/>
      </bottom>
      <diagonal/>
    </border>
    <border>
      <left/>
      <right/>
      <top/>
      <bottom style="dotted">
        <color theme="0" tint="-0.24994659260841701"/>
      </bottom>
      <diagonal/>
    </border>
    <border>
      <left style="double">
        <color theme="0" tint="-0.24994659260841701"/>
      </left>
      <right/>
      <top style="double">
        <color theme="0" tint="-0.24994659260841701"/>
      </top>
      <bottom/>
      <diagonal/>
    </border>
    <border>
      <left/>
      <right/>
      <top style="double">
        <color theme="0" tint="-0.24994659260841701"/>
      </top>
      <bottom/>
      <diagonal/>
    </border>
    <border>
      <left/>
      <right style="double">
        <color theme="0" tint="-0.24994659260841701"/>
      </right>
      <top style="double">
        <color theme="0" tint="-0.24994659260841701"/>
      </top>
      <bottom/>
      <diagonal/>
    </border>
    <border>
      <left style="double">
        <color theme="0" tint="-0.24994659260841701"/>
      </left>
      <right/>
      <top/>
      <bottom/>
      <diagonal/>
    </border>
    <border>
      <left/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/>
      <top/>
      <bottom style="double">
        <color theme="0" tint="-0.24994659260841701"/>
      </bottom>
      <diagonal/>
    </border>
    <border>
      <left/>
      <right/>
      <top/>
      <bottom style="double">
        <color theme="0" tint="-0.24994659260841701"/>
      </bottom>
      <diagonal/>
    </border>
    <border>
      <left/>
      <right style="double">
        <color theme="0" tint="-0.24994659260841701"/>
      </right>
      <top/>
      <bottom style="double">
        <color theme="0" tint="-0.2499465926084170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2">
    <xf numFmtId="0" fontId="0" fillId="0" borderId="0"/>
    <xf numFmtId="0" fontId="50" fillId="0" borderId="0" applyNumberFormat="0" applyFill="0" applyBorder="0" applyAlignment="0" applyProtection="0"/>
  </cellStyleXfs>
  <cellXfs count="55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0" xfId="0" applyBorder="1"/>
    <xf numFmtId="4" fontId="0" fillId="0" borderId="0" xfId="0" applyNumberFormat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/>
    <xf numFmtId="15" fontId="0" fillId="0" borderId="0" xfId="0" applyNumberFormat="1"/>
    <xf numFmtId="0" fontId="2" fillId="0" borderId="1" xfId="0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4" fontId="0" fillId="0" borderId="3" xfId="0" applyNumberForma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0" fontId="1" fillId="0" borderId="0" xfId="0" applyFont="1" applyBorder="1"/>
    <xf numFmtId="0" fontId="0" fillId="0" borderId="0" xfId="0" applyFont="1"/>
    <xf numFmtId="0" fontId="0" fillId="0" borderId="0" xfId="0" applyFont="1" applyBorder="1"/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0" fillId="6" borderId="45" xfId="0" applyFill="1" applyBorder="1"/>
    <xf numFmtId="0" fontId="0" fillId="6" borderId="46" xfId="0" applyFill="1" applyBorder="1"/>
    <xf numFmtId="0" fontId="0" fillId="6" borderId="47" xfId="0" applyFill="1" applyBorder="1"/>
    <xf numFmtId="0" fontId="0" fillId="6" borderId="48" xfId="0" applyFill="1" applyBorder="1"/>
    <xf numFmtId="0" fontId="0" fillId="6" borderId="49" xfId="0" applyFont="1" applyFill="1" applyBorder="1" applyAlignment="1">
      <alignment horizontal="center"/>
    </xf>
    <xf numFmtId="0" fontId="0" fillId="6" borderId="50" xfId="0" applyFill="1" applyBorder="1"/>
    <xf numFmtId="0" fontId="0" fillId="6" borderId="51" xfId="0" applyFill="1" applyBorder="1"/>
    <xf numFmtId="0" fontId="0" fillId="6" borderId="52" xfId="0" applyFill="1" applyBorder="1"/>
    <xf numFmtId="0" fontId="0" fillId="2" borderId="19" xfId="0" applyFill="1" applyBorder="1"/>
    <xf numFmtId="0" fontId="0" fillId="2" borderId="21" xfId="0" applyFill="1" applyBorder="1"/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4" xfId="0" applyFill="1" applyBorder="1"/>
    <xf numFmtId="0" fontId="0" fillId="2" borderId="25" xfId="0" applyFill="1" applyBorder="1"/>
    <xf numFmtId="0" fontId="0" fillId="2" borderId="26" xfId="0" applyFill="1" applyBorder="1"/>
    <xf numFmtId="0" fontId="8" fillId="3" borderId="54" xfId="0" applyFont="1" applyFill="1" applyBorder="1"/>
    <xf numFmtId="0" fontId="7" fillId="4" borderId="62" xfId="0" applyFont="1" applyFill="1" applyBorder="1"/>
    <xf numFmtId="0" fontId="5" fillId="2" borderId="0" xfId="0" applyFont="1" applyFill="1" applyBorder="1"/>
    <xf numFmtId="0" fontId="0" fillId="9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165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vertical="center"/>
    </xf>
    <xf numFmtId="166" fontId="0" fillId="0" borderId="0" xfId="0" applyNumberFormat="1" applyBorder="1" applyAlignment="1">
      <alignment horizontal="center"/>
    </xf>
    <xf numFmtId="0" fontId="3" fillId="0" borderId="0" xfId="0" quotePrefix="1" applyFont="1" applyBorder="1" applyAlignment="1">
      <alignment vertical="center"/>
    </xf>
    <xf numFmtId="0" fontId="0" fillId="0" borderId="0" xfId="0" applyFill="1" applyBorder="1" applyAlignment="1">
      <alignment horizontal="center"/>
    </xf>
    <xf numFmtId="168" fontId="0" fillId="0" borderId="0" xfId="0" applyNumberFormat="1" applyAlignment="1">
      <alignment horizontal="center" vertical="center"/>
    </xf>
    <xf numFmtId="167" fontId="0" fillId="0" borderId="0" xfId="0" applyNumberForma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14" fontId="0" fillId="0" borderId="0" xfId="0" applyNumberFormat="1"/>
    <xf numFmtId="4" fontId="0" fillId="9" borderId="0" xfId="0" applyNumberFormat="1" applyFill="1" applyAlignment="1">
      <alignment horizontal="center" vertical="center"/>
    </xf>
    <xf numFmtId="168" fontId="0" fillId="9" borderId="0" xfId="0" applyNumberForma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168" fontId="4" fillId="9" borderId="0" xfId="0" applyNumberFormat="1" applyFont="1" applyFill="1" applyAlignment="1">
      <alignment horizontal="center" vertical="center"/>
    </xf>
    <xf numFmtId="4" fontId="0" fillId="11" borderId="0" xfId="0" applyNumberForma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168" fontId="0" fillId="11" borderId="0" xfId="0" applyNumberFormat="1" applyFill="1" applyAlignment="1">
      <alignment horizontal="center" vertical="center"/>
    </xf>
    <xf numFmtId="4" fontId="4" fillId="11" borderId="0" xfId="0" applyNumberFormat="1" applyFont="1" applyFill="1" applyAlignment="1">
      <alignment horizontal="center" vertical="center"/>
    </xf>
    <xf numFmtId="168" fontId="4" fillId="11" borderId="0" xfId="0" applyNumberFormat="1" applyFont="1" applyFill="1" applyAlignment="1">
      <alignment horizontal="center" vertical="center"/>
    </xf>
    <xf numFmtId="4" fontId="0" fillId="7" borderId="0" xfId="0" applyNumberForma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168" fontId="0" fillId="7" borderId="0" xfId="0" applyNumberFormat="1" applyFill="1" applyAlignment="1">
      <alignment horizontal="center" vertical="center"/>
    </xf>
    <xf numFmtId="0" fontId="15" fillId="0" borderId="0" xfId="0" applyFont="1" applyBorder="1" applyAlignment="1">
      <alignment horizontal="center" vertical="center" textRotation="90" wrapText="1"/>
    </xf>
    <xf numFmtId="0" fontId="15" fillId="0" borderId="0" xfId="0" applyFont="1" applyBorder="1" applyAlignment="1">
      <alignment horizontal="center" vertical="center" textRotation="90"/>
    </xf>
    <xf numFmtId="0" fontId="5" fillId="0" borderId="0" xfId="0" applyFont="1" applyAlignment="1">
      <alignment horizontal="center" vertical="center"/>
    </xf>
    <xf numFmtId="0" fontId="17" fillId="0" borderId="0" xfId="0" applyFont="1" applyFill="1"/>
    <xf numFmtId="0" fontId="0" fillId="0" borderId="82" xfId="0" applyBorder="1"/>
    <xf numFmtId="0" fontId="8" fillId="3" borderId="53" xfId="0" applyFont="1" applyFill="1" applyBorder="1"/>
    <xf numFmtId="0" fontId="8" fillId="3" borderId="55" xfId="0" applyFont="1" applyFill="1" applyBorder="1"/>
    <xf numFmtId="0" fontId="8" fillId="3" borderId="56" xfId="0" applyFont="1" applyFill="1" applyBorder="1" applyAlignment="1">
      <alignment horizontal="center"/>
    </xf>
    <xf numFmtId="0" fontId="8" fillId="3" borderId="57" xfId="0" applyFont="1" applyFill="1" applyBorder="1" applyAlignment="1">
      <alignment horizontal="center"/>
    </xf>
    <xf numFmtId="0" fontId="8" fillId="3" borderId="58" xfId="0" applyFont="1" applyFill="1" applyBorder="1"/>
    <xf numFmtId="0" fontId="8" fillId="3" borderId="59" xfId="0" applyFont="1" applyFill="1" applyBorder="1"/>
    <xf numFmtId="0" fontId="8" fillId="3" borderId="60" xfId="0" applyFont="1" applyFill="1" applyBorder="1"/>
    <xf numFmtId="0" fontId="7" fillId="4" borderId="61" xfId="0" applyFont="1" applyFill="1" applyBorder="1"/>
    <xf numFmtId="0" fontId="7" fillId="4" borderId="63" xfId="0" applyFont="1" applyFill="1" applyBorder="1"/>
    <xf numFmtId="0" fontId="7" fillId="4" borderId="64" xfId="0" applyFont="1" applyFill="1" applyBorder="1" applyAlignment="1">
      <alignment horizontal="center"/>
    </xf>
    <xf numFmtId="0" fontId="7" fillId="4" borderId="65" xfId="0" applyFont="1" applyFill="1" applyBorder="1" applyAlignment="1">
      <alignment horizontal="center"/>
    </xf>
    <xf numFmtId="0" fontId="7" fillId="4" borderId="66" xfId="0" applyFont="1" applyFill="1" applyBorder="1"/>
    <xf numFmtId="0" fontId="7" fillId="4" borderId="67" xfId="0" applyFont="1" applyFill="1" applyBorder="1"/>
    <xf numFmtId="0" fontId="7" fillId="4" borderId="68" xfId="0" applyFont="1" applyFill="1" applyBorder="1"/>
    <xf numFmtId="0" fontId="6" fillId="5" borderId="37" xfId="0" applyFont="1" applyFill="1" applyBorder="1"/>
    <xf numFmtId="0" fontId="6" fillId="5" borderId="38" xfId="0" applyFont="1" applyFill="1" applyBorder="1"/>
    <xf numFmtId="0" fontId="6" fillId="5" borderId="39" xfId="0" applyFont="1" applyFill="1" applyBorder="1"/>
    <xf numFmtId="0" fontId="6" fillId="5" borderId="40" xfId="0" applyFont="1" applyFill="1" applyBorder="1" applyAlignment="1">
      <alignment horizontal="center"/>
    </xf>
    <xf numFmtId="0" fontId="6" fillId="5" borderId="41" xfId="0" applyFont="1" applyFill="1" applyBorder="1"/>
    <xf numFmtId="0" fontId="0" fillId="0" borderId="131" xfId="0" applyBorder="1"/>
    <xf numFmtId="0" fontId="0" fillId="0" borderId="131" xfId="0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168" fontId="0" fillId="12" borderId="0" xfId="0" applyNumberFormat="1" applyFill="1" applyAlignment="1">
      <alignment horizontal="center" vertical="center"/>
    </xf>
    <xf numFmtId="0" fontId="3" fillId="0" borderId="0" xfId="0" applyFont="1" applyAlignment="1">
      <alignment vertical="center"/>
    </xf>
    <xf numFmtId="4" fontId="0" fillId="0" borderId="0" xfId="0" applyNumberFormat="1"/>
    <xf numFmtId="0" fontId="0" fillId="14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25" fillId="0" borderId="0" xfId="0" applyFont="1"/>
    <xf numFmtId="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2" fontId="27" fillId="10" borderId="0" xfId="0" applyNumberFormat="1" applyFon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4" fontId="24" fillId="13" borderId="0" xfId="0" applyNumberFormat="1" applyFont="1" applyFill="1"/>
    <xf numFmtId="4" fontId="24" fillId="13" borderId="0" xfId="0" applyNumberFormat="1" applyFont="1" applyFill="1" applyAlignment="1">
      <alignment horizontal="center" vertical="center"/>
    </xf>
    <xf numFmtId="168" fontId="24" fillId="13" borderId="0" xfId="0" applyNumberFormat="1" applyFont="1" applyFill="1" applyAlignment="1">
      <alignment horizontal="center" vertical="center"/>
    </xf>
    <xf numFmtId="0" fontId="0" fillId="0" borderId="133" xfId="0" applyBorder="1"/>
    <xf numFmtId="0" fontId="0" fillId="0" borderId="134" xfId="0" applyBorder="1"/>
    <xf numFmtId="0" fontId="0" fillId="0" borderId="135" xfId="0" applyBorder="1"/>
    <xf numFmtId="0" fontId="0" fillId="0" borderId="136" xfId="0" applyBorder="1"/>
    <xf numFmtId="0" fontId="0" fillId="0" borderId="137" xfId="0" applyBorder="1"/>
    <xf numFmtId="0" fontId="0" fillId="0" borderId="138" xfId="0" applyBorder="1"/>
    <xf numFmtId="0" fontId="0" fillId="0" borderId="132" xfId="0" applyBorder="1"/>
    <xf numFmtId="0" fontId="28" fillId="0" borderId="0" xfId="0" applyFont="1"/>
    <xf numFmtId="0" fontId="17" fillId="0" borderId="0" xfId="0" applyFont="1"/>
    <xf numFmtId="0" fontId="0" fillId="0" borderId="139" xfId="0" applyBorder="1"/>
    <xf numFmtId="0" fontId="1" fillId="0" borderId="0" xfId="0" applyFont="1" applyAlignment="1">
      <alignment horizontal="left" vertical="center"/>
    </xf>
    <xf numFmtId="3" fontId="0" fillId="0" borderId="0" xfId="0" applyNumberFormat="1" applyFont="1" applyAlignment="1">
      <alignment horizontal="center" vertical="center"/>
    </xf>
    <xf numFmtId="0" fontId="0" fillId="16" borderId="140" xfId="0" applyFill="1" applyBorder="1" applyAlignment="1">
      <alignment horizontal="center" vertical="center"/>
    </xf>
    <xf numFmtId="0" fontId="0" fillId="16" borderId="141" xfId="0" applyFill="1" applyBorder="1" applyAlignment="1">
      <alignment horizontal="center" vertical="center"/>
    </xf>
    <xf numFmtId="0" fontId="0" fillId="16" borderId="141" xfId="0" applyFont="1" applyFill="1" applyBorder="1" applyAlignment="1">
      <alignment horizontal="center" vertical="center"/>
    </xf>
    <xf numFmtId="0" fontId="0" fillId="16" borderId="140" xfId="0" applyFont="1" applyFill="1" applyBorder="1" applyAlignment="1">
      <alignment horizontal="center" vertical="center"/>
    </xf>
    <xf numFmtId="15" fontId="34" fillId="17" borderId="1" xfId="0" applyNumberFormat="1" applyFont="1" applyFill="1" applyBorder="1" applyAlignment="1">
      <alignment horizontal="center" vertical="center"/>
    </xf>
    <xf numFmtId="15" fontId="34" fillId="17" borderId="7" xfId="0" applyNumberFormat="1" applyFont="1" applyFill="1" applyBorder="1" applyAlignment="1">
      <alignment horizontal="center" vertical="center"/>
    </xf>
    <xf numFmtId="4" fontId="34" fillId="17" borderId="7" xfId="0" applyNumberFormat="1" applyFont="1" applyFill="1" applyBorder="1" applyAlignment="1">
      <alignment horizontal="center" vertical="center"/>
    </xf>
    <xf numFmtId="3" fontId="34" fillId="17" borderId="7" xfId="0" applyNumberFormat="1" applyFont="1" applyFill="1" applyBorder="1" applyAlignment="1">
      <alignment horizontal="center" vertical="center"/>
    </xf>
    <xf numFmtId="164" fontId="34" fillId="17" borderId="7" xfId="0" applyNumberFormat="1" applyFont="1" applyFill="1" applyBorder="1" applyAlignment="1">
      <alignment horizontal="center" vertical="center"/>
    </xf>
    <xf numFmtId="15" fontId="34" fillId="17" borderId="3" xfId="0" applyNumberFormat="1" applyFont="1" applyFill="1" applyBorder="1" applyAlignment="1">
      <alignment horizontal="center" vertical="center"/>
    </xf>
    <xf numFmtId="15" fontId="34" fillId="17" borderId="0" xfId="0" applyNumberFormat="1" applyFont="1" applyFill="1" applyBorder="1" applyAlignment="1">
      <alignment horizontal="center" vertical="center"/>
    </xf>
    <xf numFmtId="4" fontId="34" fillId="17" borderId="0" xfId="0" applyNumberFormat="1" applyFont="1" applyFill="1" applyBorder="1" applyAlignment="1">
      <alignment horizontal="center" vertical="center"/>
    </xf>
    <xf numFmtId="3" fontId="34" fillId="17" borderId="0" xfId="0" applyNumberFormat="1" applyFont="1" applyFill="1" applyBorder="1" applyAlignment="1">
      <alignment horizontal="center" vertical="center"/>
    </xf>
    <xf numFmtId="164" fontId="34" fillId="17" borderId="0" xfId="0" applyNumberFormat="1" applyFont="1" applyFill="1" applyBorder="1" applyAlignment="1">
      <alignment horizontal="center" vertical="center"/>
    </xf>
    <xf numFmtId="15" fontId="34" fillId="17" borderId="5" xfId="0" applyNumberFormat="1" applyFont="1" applyFill="1" applyBorder="1" applyAlignment="1">
      <alignment horizontal="center" vertical="center"/>
    </xf>
    <xf numFmtId="15" fontId="34" fillId="17" borderId="8" xfId="0" applyNumberFormat="1" applyFont="1" applyFill="1" applyBorder="1" applyAlignment="1">
      <alignment horizontal="center" vertical="center"/>
    </xf>
    <xf numFmtId="4" fontId="34" fillId="17" borderId="8" xfId="0" applyNumberFormat="1" applyFont="1" applyFill="1" applyBorder="1" applyAlignment="1">
      <alignment horizontal="center" vertical="center"/>
    </xf>
    <xf numFmtId="3" fontId="34" fillId="17" borderId="8" xfId="0" applyNumberFormat="1" applyFont="1" applyFill="1" applyBorder="1" applyAlignment="1">
      <alignment horizontal="center" vertical="center"/>
    </xf>
    <xf numFmtId="164" fontId="34" fillId="17" borderId="8" xfId="0" applyNumberFormat="1" applyFont="1" applyFill="1" applyBorder="1" applyAlignment="1">
      <alignment horizontal="center" vertical="center"/>
    </xf>
    <xf numFmtId="0" fontId="0" fillId="16" borderId="142" xfId="0" applyFont="1" applyFill="1" applyBorder="1" applyAlignment="1">
      <alignment horizontal="center" vertical="center"/>
    </xf>
    <xf numFmtId="3" fontId="34" fillId="17" borderId="2" xfId="0" applyNumberFormat="1" applyFont="1" applyFill="1" applyBorder="1" applyAlignment="1">
      <alignment horizontal="center" vertical="center"/>
    </xf>
    <xf numFmtId="3" fontId="34" fillId="17" borderId="4" xfId="0" applyNumberFormat="1" applyFont="1" applyFill="1" applyBorder="1" applyAlignment="1">
      <alignment horizontal="center" vertical="center"/>
    </xf>
    <xf numFmtId="3" fontId="34" fillId="17" borderId="6" xfId="0" applyNumberFormat="1" applyFont="1" applyFill="1" applyBorder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169" fontId="17" fillId="18" borderId="7" xfId="0" applyNumberFormat="1" applyFont="1" applyFill="1" applyBorder="1" applyAlignment="1">
      <alignment horizontal="center" vertical="center"/>
    </xf>
    <xf numFmtId="169" fontId="17" fillId="18" borderId="0" xfId="0" applyNumberFormat="1" applyFont="1" applyFill="1" applyBorder="1" applyAlignment="1">
      <alignment horizontal="center" vertical="center"/>
    </xf>
    <xf numFmtId="169" fontId="17" fillId="18" borderId="8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0" fontId="0" fillId="0" borderId="0" xfId="0" quotePrefix="1"/>
    <xf numFmtId="0" fontId="3" fillId="0" borderId="0" xfId="0" applyFont="1"/>
    <xf numFmtId="0" fontId="3" fillId="0" borderId="0" xfId="0" applyFont="1" applyBorder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164" fontId="30" fillId="19" borderId="7" xfId="0" applyNumberFormat="1" applyFont="1" applyFill="1" applyBorder="1" applyAlignment="1">
      <alignment horizontal="center" vertical="center"/>
    </xf>
    <xf numFmtId="164" fontId="30" fillId="19" borderId="0" xfId="0" applyNumberFormat="1" applyFont="1" applyFill="1" applyBorder="1" applyAlignment="1">
      <alignment horizontal="center" vertical="center"/>
    </xf>
    <xf numFmtId="164" fontId="30" fillId="19" borderId="8" xfId="0" applyNumberFormat="1" applyFont="1" applyFill="1" applyBorder="1" applyAlignment="1">
      <alignment horizontal="center" vertical="center"/>
    </xf>
    <xf numFmtId="0" fontId="38" fillId="0" borderId="0" xfId="0" applyFont="1"/>
    <xf numFmtId="0" fontId="38" fillId="0" borderId="4" xfId="0" applyFont="1" applyBorder="1" applyAlignment="1">
      <alignment horizontal="right" vertical="center"/>
    </xf>
    <xf numFmtId="10" fontId="0" fillId="0" borderId="0" xfId="0" applyNumberFormat="1" applyAlignment="1">
      <alignment horizontal="center" vertical="center"/>
    </xf>
    <xf numFmtId="0" fontId="39" fillId="0" borderId="0" xfId="0" applyFont="1"/>
    <xf numFmtId="4" fontId="39" fillId="0" borderId="0" xfId="0" applyNumberFormat="1" applyFont="1" applyAlignment="1">
      <alignment horizontal="center" vertical="center"/>
    </xf>
    <xf numFmtId="168" fontId="39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0" fillId="0" borderId="0" xfId="0" applyFont="1"/>
    <xf numFmtId="4" fontId="40" fillId="0" borderId="0" xfId="0" applyNumberFormat="1" applyFont="1" applyAlignment="1">
      <alignment horizontal="center" vertical="center"/>
    </xf>
    <xf numFmtId="168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40" fillId="0" borderId="0" xfId="0" quotePrefix="1" applyNumberFormat="1" applyFont="1" applyAlignment="1">
      <alignment horizontal="center" vertical="center"/>
    </xf>
    <xf numFmtId="0" fontId="41" fillId="0" borderId="0" xfId="0" applyFont="1"/>
    <xf numFmtId="0" fontId="41" fillId="0" borderId="0" xfId="0" applyFont="1" applyAlignment="1">
      <alignment horizontal="center" vertical="center"/>
    </xf>
    <xf numFmtId="168" fontId="41" fillId="0" borderId="0" xfId="0" applyNumberFormat="1" applyFont="1" applyAlignment="1">
      <alignment horizontal="center" vertical="center"/>
    </xf>
    <xf numFmtId="4" fontId="41" fillId="0" borderId="0" xfId="0" applyNumberFormat="1" applyFont="1" applyAlignment="1">
      <alignment horizontal="center" vertical="center"/>
    </xf>
    <xf numFmtId="0" fontId="42" fillId="0" borderId="0" xfId="0" applyFont="1"/>
    <xf numFmtId="0" fontId="42" fillId="0" borderId="0" xfId="0" applyFont="1" applyAlignment="1">
      <alignment horizontal="center" vertical="center"/>
    </xf>
    <xf numFmtId="168" fontId="4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3" fontId="42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5" fillId="0" borderId="143" xfId="0" applyFont="1" applyBorder="1" applyAlignment="1">
      <alignment horizontal="right" vertical="center"/>
    </xf>
    <xf numFmtId="15" fontId="2" fillId="17" borderId="1" xfId="0" applyNumberFormat="1" applyFont="1" applyFill="1" applyBorder="1" applyAlignment="1">
      <alignment horizontal="center" vertical="center"/>
    </xf>
    <xf numFmtId="15" fontId="2" fillId="17" borderId="7" xfId="0" applyNumberFormat="1" applyFont="1" applyFill="1" applyBorder="1" applyAlignment="1">
      <alignment horizontal="center" vertical="center"/>
    </xf>
    <xf numFmtId="4" fontId="2" fillId="17" borderId="7" xfId="0" applyNumberFormat="1" applyFont="1" applyFill="1" applyBorder="1" applyAlignment="1">
      <alignment horizontal="center" vertical="center"/>
    </xf>
    <xf numFmtId="3" fontId="2" fillId="17" borderId="7" xfId="0" applyNumberFormat="1" applyFont="1" applyFill="1" applyBorder="1" applyAlignment="1">
      <alignment horizontal="center" vertical="center"/>
    </xf>
    <xf numFmtId="15" fontId="2" fillId="17" borderId="3" xfId="0" applyNumberFormat="1" applyFont="1" applyFill="1" applyBorder="1" applyAlignment="1">
      <alignment horizontal="center" vertical="center"/>
    </xf>
    <xf numFmtId="15" fontId="2" fillId="17" borderId="0" xfId="0" applyNumberFormat="1" applyFont="1" applyFill="1" applyBorder="1" applyAlignment="1">
      <alignment horizontal="center" vertical="center"/>
    </xf>
    <xf numFmtId="4" fontId="2" fillId="17" borderId="0" xfId="0" applyNumberFormat="1" applyFont="1" applyFill="1" applyBorder="1" applyAlignment="1">
      <alignment horizontal="center" vertical="center"/>
    </xf>
    <xf numFmtId="3" fontId="2" fillId="17" borderId="0" xfId="0" applyNumberFormat="1" applyFont="1" applyFill="1" applyBorder="1" applyAlignment="1">
      <alignment horizontal="center" vertical="center"/>
    </xf>
    <xf numFmtId="3" fontId="39" fillId="17" borderId="2" xfId="0" applyNumberFormat="1" applyFont="1" applyFill="1" applyBorder="1" applyAlignment="1">
      <alignment horizontal="center" vertical="center"/>
    </xf>
    <xf numFmtId="3" fontId="39" fillId="17" borderId="4" xfId="0" applyNumberFormat="1" applyFont="1" applyFill="1" applyBorder="1" applyAlignment="1">
      <alignment horizontal="center" vertical="center"/>
    </xf>
    <xf numFmtId="15" fontId="2" fillId="17" borderId="5" xfId="0" applyNumberFormat="1" applyFont="1" applyFill="1" applyBorder="1" applyAlignment="1">
      <alignment horizontal="center" vertical="center"/>
    </xf>
    <xf numFmtId="15" fontId="2" fillId="17" borderId="8" xfId="0" applyNumberFormat="1" applyFont="1" applyFill="1" applyBorder="1" applyAlignment="1">
      <alignment horizontal="center" vertical="center"/>
    </xf>
    <xf numFmtId="4" fontId="2" fillId="17" borderId="8" xfId="0" applyNumberFormat="1" applyFont="1" applyFill="1" applyBorder="1" applyAlignment="1">
      <alignment horizontal="center" vertical="center"/>
    </xf>
    <xf numFmtId="3" fontId="2" fillId="17" borderId="8" xfId="0" applyNumberFormat="1" applyFont="1" applyFill="1" applyBorder="1" applyAlignment="1">
      <alignment horizontal="center" vertical="center"/>
    </xf>
    <xf numFmtId="3" fontId="39" fillId="17" borderId="6" xfId="0" applyNumberFormat="1" applyFont="1" applyFill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9" fontId="0" fillId="10" borderId="2" xfId="0" applyNumberFormat="1" applyFill="1" applyBorder="1" applyAlignment="1">
      <alignment horizontal="center" vertical="center"/>
    </xf>
    <xf numFmtId="169" fontId="0" fillId="10" borderId="4" xfId="0" applyNumberFormat="1" applyFill="1" applyBorder="1" applyAlignment="1">
      <alignment horizontal="center" vertical="center"/>
    </xf>
    <xf numFmtId="169" fontId="0" fillId="10" borderId="6" xfId="0" applyNumberFormat="1" applyFill="1" applyBorder="1" applyAlignment="1">
      <alignment horizontal="center" vertical="center"/>
    </xf>
    <xf numFmtId="4" fontId="0" fillId="17" borderId="1" xfId="0" applyNumberFormat="1" applyFill="1" applyBorder="1" applyAlignment="1">
      <alignment horizontal="center" vertical="center"/>
    </xf>
    <xf numFmtId="4" fontId="0" fillId="17" borderId="3" xfId="0" applyNumberFormat="1" applyFill="1" applyBorder="1" applyAlignment="1">
      <alignment horizontal="center" vertical="center"/>
    </xf>
    <xf numFmtId="4" fontId="0" fillId="17" borderId="5" xfId="0" applyNumberFormat="1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0" fontId="0" fillId="17" borderId="7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3" fontId="43" fillId="0" borderId="0" xfId="0" applyNumberFormat="1" applyFont="1" applyAlignment="1">
      <alignment horizontal="center" vertical="center"/>
    </xf>
    <xf numFmtId="0" fontId="5" fillId="0" borderId="0" xfId="0" quotePrefix="1" applyFont="1"/>
    <xf numFmtId="170" fontId="0" fillId="16" borderId="141" xfId="0" applyNumberFormat="1" applyFont="1" applyFill="1" applyBorder="1" applyAlignment="1">
      <alignment horizontal="center" vertical="center"/>
    </xf>
    <xf numFmtId="170" fontId="0" fillId="0" borderId="0" xfId="0" applyNumberFormat="1"/>
    <xf numFmtId="170" fontId="5" fillId="0" borderId="0" xfId="0" applyNumberFormat="1" applyFont="1" applyAlignment="1">
      <alignment horizontal="center" vertical="center"/>
    </xf>
    <xf numFmtId="170" fontId="0" fillId="0" borderId="0" xfId="0" applyNumberFormat="1" applyFont="1" applyAlignment="1">
      <alignment horizontal="center" vertical="center"/>
    </xf>
    <xf numFmtId="170" fontId="44" fillId="17" borderId="8" xfId="0" applyNumberFormat="1" applyFont="1" applyFill="1" applyBorder="1" applyAlignment="1">
      <alignment horizontal="center" vertical="center"/>
    </xf>
    <xf numFmtId="170" fontId="39" fillId="17" borderId="7" xfId="0" applyNumberFormat="1" applyFont="1" applyFill="1" applyBorder="1" applyAlignment="1">
      <alignment horizontal="center" vertical="center"/>
    </xf>
    <xf numFmtId="170" fontId="39" fillId="17" borderId="0" xfId="0" applyNumberFormat="1" applyFont="1" applyFill="1" applyBorder="1" applyAlignment="1">
      <alignment horizontal="center" vertical="center"/>
    </xf>
    <xf numFmtId="170" fontId="38" fillId="17" borderId="7" xfId="0" applyNumberFormat="1" applyFont="1" applyFill="1" applyBorder="1" applyAlignment="1">
      <alignment horizontal="center" vertical="center"/>
    </xf>
    <xf numFmtId="170" fontId="38" fillId="17" borderId="0" xfId="0" applyNumberFormat="1" applyFont="1" applyFill="1" applyBorder="1" applyAlignment="1">
      <alignment horizontal="center" vertical="center"/>
    </xf>
    <xf numFmtId="11" fontId="0" fillId="0" borderId="0" xfId="0" applyNumberFormat="1"/>
    <xf numFmtId="164" fontId="0" fillId="0" borderId="0" xfId="0" quotePrefix="1" applyNumberFormat="1" applyAlignment="1">
      <alignment horizontal="left" vertical="center"/>
    </xf>
    <xf numFmtId="169" fontId="39" fillId="17" borderId="8" xfId="0" applyNumberFormat="1" applyFont="1" applyFill="1" applyBorder="1" applyAlignment="1">
      <alignment horizontal="center" vertical="center"/>
    </xf>
    <xf numFmtId="170" fontId="39" fillId="17" borderId="8" xfId="0" applyNumberFormat="1" applyFont="1" applyFill="1" applyBorder="1" applyAlignment="1">
      <alignment horizontal="center" vertical="center"/>
    </xf>
    <xf numFmtId="169" fontId="39" fillId="17" borderId="7" xfId="0" applyNumberFormat="1" applyFont="1" applyFill="1" applyBorder="1" applyAlignment="1">
      <alignment horizontal="center" vertical="center"/>
    </xf>
    <xf numFmtId="169" fontId="39" fillId="17" borderId="0" xfId="0" applyNumberFormat="1" applyFont="1" applyFill="1" applyBorder="1" applyAlignment="1">
      <alignment horizontal="center" vertical="center"/>
    </xf>
    <xf numFmtId="170" fontId="39" fillId="17" borderId="2" xfId="0" applyNumberFormat="1" applyFont="1" applyFill="1" applyBorder="1" applyAlignment="1">
      <alignment horizontal="center" vertical="center"/>
    </xf>
    <xf numFmtId="170" fontId="39" fillId="17" borderId="4" xfId="0" applyNumberFormat="1" applyFont="1" applyFill="1" applyBorder="1" applyAlignment="1">
      <alignment horizontal="center" vertical="center"/>
    </xf>
    <xf numFmtId="170" fontId="39" fillId="17" borderId="6" xfId="0" applyNumberFormat="1" applyFont="1" applyFill="1" applyBorder="1" applyAlignment="1">
      <alignment horizontal="center" vertical="center"/>
    </xf>
    <xf numFmtId="168" fontId="39" fillId="0" borderId="0" xfId="0" applyNumberFormat="1" applyFont="1" applyAlignment="1">
      <alignment horizontal="center"/>
    </xf>
    <xf numFmtId="168" fontId="41" fillId="0" borderId="0" xfId="0" applyNumberFormat="1" applyFont="1" applyAlignment="1">
      <alignment horizontal="center"/>
    </xf>
    <xf numFmtId="168" fontId="40" fillId="0" borderId="0" xfId="0" applyNumberFormat="1" applyFont="1" applyAlignment="1">
      <alignment horizontal="center"/>
    </xf>
    <xf numFmtId="0" fontId="46" fillId="0" borderId="0" xfId="0" applyFont="1"/>
    <xf numFmtId="0" fontId="46" fillId="0" borderId="0" xfId="0" applyFont="1" applyAlignment="1">
      <alignment horizontal="center" vertical="center"/>
    </xf>
    <xf numFmtId="168" fontId="46" fillId="0" borderId="0" xfId="0" applyNumberFormat="1" applyFont="1" applyAlignment="1">
      <alignment horizontal="center"/>
    </xf>
    <xf numFmtId="168" fontId="46" fillId="0" borderId="0" xfId="0" applyNumberFormat="1" applyFont="1" applyAlignment="1">
      <alignment horizontal="center" vertical="center"/>
    </xf>
    <xf numFmtId="0" fontId="47" fillId="0" borderId="0" xfId="0" applyFont="1"/>
    <xf numFmtId="0" fontId="47" fillId="0" borderId="0" xfId="0" applyFont="1" applyAlignment="1">
      <alignment horizontal="center" vertical="center"/>
    </xf>
    <xf numFmtId="168" fontId="47" fillId="0" borderId="0" xfId="0" applyNumberFormat="1" applyFont="1" applyAlignment="1">
      <alignment horizontal="center"/>
    </xf>
    <xf numFmtId="168" fontId="47" fillId="0" borderId="0" xfId="0" applyNumberFormat="1" applyFont="1" applyAlignment="1">
      <alignment horizontal="center" vertical="center"/>
    </xf>
    <xf numFmtId="170" fontId="0" fillId="10" borderId="1" xfId="0" applyNumberFormat="1" applyFill="1" applyBorder="1" applyAlignment="1">
      <alignment horizontal="center" vertical="center"/>
    </xf>
    <xf numFmtId="170" fontId="0" fillId="10" borderId="3" xfId="0" applyNumberFormat="1" applyFill="1" applyBorder="1" applyAlignment="1">
      <alignment horizontal="center" vertical="center"/>
    </xf>
    <xf numFmtId="170" fontId="0" fillId="10" borderId="5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7" xfId="0" applyBorder="1"/>
    <xf numFmtId="0" fontId="0" fillId="0" borderId="3" xfId="0" applyBorder="1"/>
    <xf numFmtId="0" fontId="0" fillId="0" borderId="5" xfId="0" applyBorder="1"/>
    <xf numFmtId="0" fontId="0" fillId="0" borderId="8" xfId="0" applyBorder="1"/>
    <xf numFmtId="3" fontId="39" fillId="17" borderId="144" xfId="0" applyNumberFormat="1" applyFont="1" applyFill="1" applyBorder="1" applyAlignment="1">
      <alignment horizontal="center" vertical="center"/>
    </xf>
    <xf numFmtId="3" fontId="39" fillId="17" borderId="143" xfId="0" applyNumberFormat="1" applyFont="1" applyFill="1" applyBorder="1" applyAlignment="1">
      <alignment horizontal="center" vertical="center"/>
    </xf>
    <xf numFmtId="3" fontId="39" fillId="17" borderId="145" xfId="0" applyNumberFormat="1" applyFont="1" applyFill="1" applyBorder="1" applyAlignment="1">
      <alignment horizontal="center" vertical="center"/>
    </xf>
    <xf numFmtId="0" fontId="0" fillId="0" borderId="147" xfId="0" applyBorder="1"/>
    <xf numFmtId="0" fontId="0" fillId="0" borderId="148" xfId="0" applyBorder="1"/>
    <xf numFmtId="3" fontId="39" fillId="17" borderId="146" xfId="0" applyNumberFormat="1" applyFont="1" applyFill="1" applyBorder="1" applyAlignment="1">
      <alignment horizontal="center" vertical="center"/>
    </xf>
    <xf numFmtId="0" fontId="48" fillId="0" borderId="0" xfId="0" applyFont="1"/>
    <xf numFmtId="0" fontId="37" fillId="0" borderId="0" xfId="0" applyFont="1"/>
    <xf numFmtId="0" fontId="1" fillId="0" borderId="149" xfId="0" applyFont="1" applyBorder="1"/>
    <xf numFmtId="0" fontId="1" fillId="0" borderId="150" xfId="0" applyFont="1" applyBorder="1"/>
    <xf numFmtId="0" fontId="1" fillId="0" borderId="151" xfId="0" applyFont="1" applyBorder="1"/>
    <xf numFmtId="0" fontId="0" fillId="0" borderId="152" xfId="0" applyBorder="1" applyAlignment="1">
      <alignment horizontal="center"/>
    </xf>
    <xf numFmtId="0" fontId="0" fillId="0" borderId="153" xfId="0" applyBorder="1" applyAlignment="1">
      <alignment horizontal="center"/>
    </xf>
    <xf numFmtId="0" fontId="49" fillId="0" borderId="0" xfId="0" applyFont="1"/>
    <xf numFmtId="0" fontId="50" fillId="0" borderId="0" xfId="1"/>
    <xf numFmtId="170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quotePrefix="1" applyAlignment="1">
      <alignment horizontal="center" vertical="center"/>
    </xf>
    <xf numFmtId="170" fontId="0" fillId="0" borderId="0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0" fontId="0" fillId="0" borderId="7" xfId="0" applyNumberFormat="1" applyBorder="1" applyAlignment="1">
      <alignment horizontal="center" vertical="center"/>
    </xf>
    <xf numFmtId="171" fontId="0" fillId="0" borderId="2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1" fontId="0" fillId="0" borderId="4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0" fontId="0" fillId="0" borderId="8" xfId="0" applyNumberFormat="1" applyBorder="1" applyAlignment="1">
      <alignment horizontal="center" vertical="center"/>
    </xf>
    <xf numFmtId="171" fontId="0" fillId="0" borderId="6" xfId="0" applyNumberFormat="1" applyBorder="1" applyAlignment="1">
      <alignment horizontal="center" vertical="center"/>
    </xf>
    <xf numFmtId="170" fontId="0" fillId="0" borderId="7" xfId="0" applyNumberFormat="1" applyFill="1" applyBorder="1" applyAlignment="1">
      <alignment horizontal="center" vertical="center"/>
    </xf>
    <xf numFmtId="170" fontId="0" fillId="0" borderId="0" xfId="0" applyNumberFormat="1" applyFill="1" applyBorder="1" applyAlignment="1">
      <alignment horizontal="center" vertical="center"/>
    </xf>
    <xf numFmtId="170" fontId="0" fillId="0" borderId="8" xfId="0" applyNumberFormat="1" applyFill="1" applyBorder="1" applyAlignment="1">
      <alignment horizontal="center" vertical="center"/>
    </xf>
    <xf numFmtId="4" fontId="0" fillId="7" borderId="1" xfId="0" applyNumberFormat="1" applyFill="1" applyBorder="1" applyAlignment="1">
      <alignment horizontal="center"/>
    </xf>
    <xf numFmtId="4" fontId="0" fillId="7" borderId="7" xfId="0" applyNumberFormat="1" applyFill="1" applyBorder="1" applyAlignment="1">
      <alignment horizontal="center"/>
    </xf>
    <xf numFmtId="4" fontId="0" fillId="7" borderId="2" xfId="0" applyNumberFormat="1" applyFill="1" applyBorder="1" applyAlignment="1">
      <alignment horizontal="center"/>
    </xf>
    <xf numFmtId="4" fontId="0" fillId="7" borderId="3" xfId="0" applyNumberFormat="1" applyFill="1" applyBorder="1" applyAlignment="1">
      <alignment horizontal="center"/>
    </xf>
    <xf numFmtId="4" fontId="0" fillId="7" borderId="0" xfId="0" applyNumberFormat="1" applyFill="1" applyBorder="1" applyAlignment="1">
      <alignment horizontal="center"/>
    </xf>
    <xf numFmtId="4" fontId="0" fillId="7" borderId="4" xfId="0" applyNumberFormat="1" applyFill="1" applyBorder="1" applyAlignment="1">
      <alignment horizontal="center"/>
    </xf>
    <xf numFmtId="4" fontId="0" fillId="7" borderId="5" xfId="0" applyNumberFormat="1" applyFill="1" applyBorder="1" applyAlignment="1">
      <alignment horizontal="center"/>
    </xf>
    <xf numFmtId="4" fontId="0" fillId="7" borderId="8" xfId="0" applyNumberFormat="1" applyFill="1" applyBorder="1" applyAlignment="1">
      <alignment horizontal="center"/>
    </xf>
    <xf numFmtId="4" fontId="0" fillId="7" borderId="6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170" fontId="0" fillId="0" borderId="2" xfId="0" applyNumberForma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70" fontId="0" fillId="0" borderId="4" xfId="0" applyNumberForma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70" fontId="0" fillId="0" borderId="6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170" fontId="0" fillId="10" borderId="7" xfId="0" applyNumberFormat="1" applyFill="1" applyBorder="1" applyAlignment="1">
      <alignment horizontal="center" vertical="center"/>
    </xf>
    <xf numFmtId="170" fontId="0" fillId="10" borderId="0" xfId="0" applyNumberFormat="1" applyFill="1" applyBorder="1" applyAlignment="1">
      <alignment horizontal="center" vertical="center"/>
    </xf>
    <xf numFmtId="170" fontId="0" fillId="10" borderId="8" xfId="0" applyNumberFormat="1" applyFill="1" applyBorder="1" applyAlignment="1">
      <alignment horizontal="center" vertical="center"/>
    </xf>
    <xf numFmtId="170" fontId="0" fillId="10" borderId="144" xfId="0" applyNumberFormat="1" applyFill="1" applyBorder="1" applyAlignment="1">
      <alignment horizontal="center" vertical="center"/>
    </xf>
    <xf numFmtId="170" fontId="0" fillId="10" borderId="143" xfId="0" applyNumberFormat="1" applyFill="1" applyBorder="1" applyAlignment="1">
      <alignment horizontal="center" vertical="center"/>
    </xf>
    <xf numFmtId="170" fontId="0" fillId="10" borderId="145" xfId="0" applyNumberFormat="1" applyFill="1" applyBorder="1" applyAlignment="1">
      <alignment horizontal="center" vertical="center"/>
    </xf>
    <xf numFmtId="4" fontId="2" fillId="7" borderId="1" xfId="0" applyNumberFormat="1" applyFont="1" applyFill="1" applyBorder="1" applyAlignment="1">
      <alignment horizontal="center" vertical="center"/>
    </xf>
    <xf numFmtId="4" fontId="2" fillId="7" borderId="7" xfId="0" applyNumberFormat="1" applyFont="1" applyFill="1" applyBorder="1" applyAlignment="1">
      <alignment horizontal="center"/>
    </xf>
    <xf numFmtId="4" fontId="2" fillId="7" borderId="2" xfId="0" applyNumberFormat="1" applyFont="1" applyFill="1" applyBorder="1" applyAlignment="1">
      <alignment horizontal="center"/>
    </xf>
    <xf numFmtId="4" fontId="2" fillId="7" borderId="3" xfId="0" applyNumberFormat="1" applyFont="1" applyFill="1" applyBorder="1" applyAlignment="1">
      <alignment horizontal="center" vertical="center"/>
    </xf>
    <xf numFmtId="4" fontId="2" fillId="7" borderId="0" xfId="0" applyNumberFormat="1" applyFont="1" applyFill="1" applyBorder="1" applyAlignment="1">
      <alignment horizontal="center" vertical="center"/>
    </xf>
    <xf numFmtId="4" fontId="2" fillId="7" borderId="0" xfId="0" applyNumberFormat="1" applyFont="1" applyFill="1" applyBorder="1" applyAlignment="1">
      <alignment horizontal="center"/>
    </xf>
    <xf numFmtId="4" fontId="2" fillId="7" borderId="4" xfId="0" applyNumberFormat="1" applyFont="1" applyFill="1" applyBorder="1" applyAlignment="1">
      <alignment horizontal="center"/>
    </xf>
    <xf numFmtId="4" fontId="2" fillId="7" borderId="5" xfId="0" applyNumberFormat="1" applyFont="1" applyFill="1" applyBorder="1" applyAlignment="1">
      <alignment horizontal="center" vertical="center"/>
    </xf>
    <xf numFmtId="4" fontId="2" fillId="7" borderId="8" xfId="0" applyNumberFormat="1" applyFont="1" applyFill="1" applyBorder="1" applyAlignment="1">
      <alignment horizontal="center"/>
    </xf>
    <xf numFmtId="4" fontId="2" fillId="7" borderId="6" xfId="0" applyNumberFormat="1" applyFont="1" applyFill="1" applyBorder="1" applyAlignment="1">
      <alignment horizontal="center"/>
    </xf>
    <xf numFmtId="0" fontId="51" fillId="0" borderId="0" xfId="0" applyFont="1"/>
    <xf numFmtId="170" fontId="44" fillId="8" borderId="0" xfId="0" applyNumberFormat="1" applyFont="1" applyFill="1" applyBorder="1" applyAlignment="1">
      <alignment horizontal="center" vertical="center"/>
    </xf>
    <xf numFmtId="10" fontId="0" fillId="10" borderId="7" xfId="0" applyNumberFormat="1" applyFill="1" applyBorder="1" applyAlignment="1">
      <alignment horizontal="center" vertical="center"/>
    </xf>
    <xf numFmtId="10" fontId="0" fillId="10" borderId="0" xfId="0" applyNumberFormat="1" applyFill="1" applyBorder="1" applyAlignment="1">
      <alignment horizontal="center" vertical="center"/>
    </xf>
    <xf numFmtId="10" fontId="0" fillId="10" borderId="8" xfId="0" applyNumberForma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11" fontId="0" fillId="8" borderId="7" xfId="0" applyNumberFormat="1" applyFill="1" applyBorder="1" applyAlignment="1">
      <alignment horizontal="center" vertical="center"/>
    </xf>
    <xf numFmtId="3" fontId="0" fillId="8" borderId="7" xfId="0" applyNumberFormat="1" applyFill="1" applyBorder="1" applyAlignment="1">
      <alignment horizontal="center" vertical="center"/>
    </xf>
    <xf numFmtId="4" fontId="44" fillId="8" borderId="2" xfId="0" applyNumberFormat="1" applyFont="1" applyFill="1" applyBorder="1" applyAlignment="1">
      <alignment horizontal="center" vertical="center"/>
    </xf>
    <xf numFmtId="11" fontId="0" fillId="8" borderId="0" xfId="0" applyNumberFormat="1" applyFill="1" applyBorder="1" applyAlignment="1">
      <alignment horizontal="center" vertical="center"/>
    </xf>
    <xf numFmtId="3" fontId="0" fillId="8" borderId="0" xfId="0" applyNumberFormat="1" applyFill="1" applyBorder="1" applyAlignment="1">
      <alignment horizontal="center" vertical="center"/>
    </xf>
    <xf numFmtId="4" fontId="44" fillId="8" borderId="4" xfId="0" applyNumberFormat="1" applyFont="1" applyFill="1" applyBorder="1" applyAlignment="1">
      <alignment horizontal="center" vertical="center"/>
    </xf>
    <xf numFmtId="11" fontId="0" fillId="8" borderId="8" xfId="0" applyNumberFormat="1" applyFill="1" applyBorder="1" applyAlignment="1">
      <alignment horizontal="center" vertical="center"/>
    </xf>
    <xf numFmtId="3" fontId="0" fillId="8" borderId="8" xfId="0" applyNumberFormat="1" applyFill="1" applyBorder="1" applyAlignment="1">
      <alignment horizontal="center" vertical="center"/>
    </xf>
    <xf numFmtId="4" fontId="44" fillId="8" borderId="6" xfId="0" applyNumberFormat="1" applyFont="1" applyFill="1" applyBorder="1" applyAlignment="1">
      <alignment horizontal="center" vertical="center"/>
    </xf>
    <xf numFmtId="170" fontId="0" fillId="8" borderId="7" xfId="0" applyNumberFormat="1" applyFill="1" applyBorder="1" applyAlignment="1">
      <alignment horizontal="center" vertical="center"/>
    </xf>
    <xf numFmtId="170" fontId="0" fillId="8" borderId="0" xfId="0" applyNumberFormat="1" applyFill="1" applyBorder="1" applyAlignment="1">
      <alignment horizontal="center" vertical="center"/>
    </xf>
    <xf numFmtId="170" fontId="0" fillId="8" borderId="8" xfId="0" applyNumberFormat="1" applyFill="1" applyBorder="1" applyAlignment="1">
      <alignment horizontal="center" vertical="center"/>
    </xf>
    <xf numFmtId="170" fontId="44" fillId="8" borderId="7" xfId="0" applyNumberFormat="1" applyFont="1" applyFill="1" applyBorder="1" applyAlignment="1">
      <alignment horizontal="center" vertical="center"/>
    </xf>
    <xf numFmtId="170" fontId="0" fillId="8" borderId="2" xfId="0" applyNumberFormat="1" applyFill="1" applyBorder="1" applyAlignment="1">
      <alignment horizontal="center" vertical="center"/>
    </xf>
    <xf numFmtId="170" fontId="0" fillId="8" borderId="4" xfId="0" applyNumberFormat="1" applyFill="1" applyBorder="1" applyAlignment="1">
      <alignment horizontal="center" vertical="center"/>
    </xf>
    <xf numFmtId="170" fontId="44" fillId="8" borderId="8" xfId="0" applyNumberFormat="1" applyFont="1" applyFill="1" applyBorder="1" applyAlignment="1">
      <alignment horizontal="center" vertical="center"/>
    </xf>
    <xf numFmtId="170" fontId="0" fillId="8" borderId="6" xfId="0" applyNumberFormat="1" applyFill="1" applyBorder="1" applyAlignment="1">
      <alignment horizontal="center" vertical="center"/>
    </xf>
    <xf numFmtId="0" fontId="2" fillId="7" borderId="157" xfId="0" applyFont="1" applyFill="1" applyBorder="1" applyAlignment="1">
      <alignment horizontal="center" vertical="center"/>
    </xf>
    <xf numFmtId="170" fontId="44" fillId="7" borderId="158" xfId="0" applyNumberFormat="1" applyFont="1" applyFill="1" applyBorder="1" applyAlignment="1">
      <alignment horizontal="center" vertical="center"/>
    </xf>
    <xf numFmtId="170" fontId="2" fillId="7" borderId="158" xfId="0" applyNumberFormat="1" applyFont="1" applyFill="1" applyBorder="1" applyAlignment="1">
      <alignment horizontal="center" vertical="center"/>
    </xf>
    <xf numFmtId="171" fontId="5" fillId="7" borderId="159" xfId="0" applyNumberFormat="1" applyFont="1" applyFill="1" applyBorder="1" applyAlignment="1">
      <alignment horizontal="center" vertical="center"/>
    </xf>
    <xf numFmtId="0" fontId="5" fillId="7" borderId="160" xfId="0" applyFont="1" applyFill="1" applyBorder="1" applyAlignment="1">
      <alignment horizontal="center" vertical="center"/>
    </xf>
    <xf numFmtId="170" fontId="44" fillId="7" borderId="0" xfId="0" applyNumberFormat="1" applyFont="1" applyFill="1" applyBorder="1" applyAlignment="1">
      <alignment horizontal="center" vertical="center"/>
    </xf>
    <xf numFmtId="170" fontId="2" fillId="7" borderId="0" xfId="0" applyNumberFormat="1" applyFont="1" applyFill="1" applyBorder="1" applyAlignment="1">
      <alignment horizontal="center" vertical="center"/>
    </xf>
    <xf numFmtId="171" fontId="5" fillId="7" borderId="161" xfId="0" applyNumberFormat="1" applyFont="1" applyFill="1" applyBorder="1" applyAlignment="1">
      <alignment horizontal="center" vertical="center"/>
    </xf>
    <xf numFmtId="0" fontId="5" fillId="7" borderId="162" xfId="0" applyFont="1" applyFill="1" applyBorder="1" applyAlignment="1">
      <alignment horizontal="center"/>
    </xf>
    <xf numFmtId="170" fontId="44" fillId="7" borderId="163" xfId="0" applyNumberFormat="1" applyFont="1" applyFill="1" applyBorder="1" applyAlignment="1">
      <alignment horizontal="center" vertical="center"/>
    </xf>
    <xf numFmtId="170" fontId="2" fillId="7" borderId="163" xfId="0" applyNumberFormat="1" applyFont="1" applyFill="1" applyBorder="1" applyAlignment="1">
      <alignment horizontal="center" vertical="center"/>
    </xf>
    <xf numFmtId="171" fontId="5" fillId="7" borderId="164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0" xfId="0" applyFont="1"/>
    <xf numFmtId="0" fontId="0" fillId="0" borderId="140" xfId="0" applyBorder="1" applyAlignment="1">
      <alignment horizontal="center" vertical="center"/>
    </xf>
    <xf numFmtId="0" fontId="0" fillId="0" borderId="141" xfId="0" applyBorder="1" applyAlignment="1">
      <alignment horizontal="center" vertical="center"/>
    </xf>
    <xf numFmtId="0" fontId="2" fillId="0" borderId="142" xfId="0" applyFont="1" applyBorder="1" applyAlignment="1">
      <alignment horizontal="center" vertical="center"/>
    </xf>
    <xf numFmtId="0" fontId="0" fillId="0" borderId="140" xfId="0" applyBorder="1" applyAlignment="1">
      <alignment horizontal="center" vertical="center" wrapText="1"/>
    </xf>
    <xf numFmtId="0" fontId="0" fillId="0" borderId="141" xfId="0" applyBorder="1" applyAlignment="1">
      <alignment horizontal="center" vertical="center" wrapText="1"/>
    </xf>
    <xf numFmtId="0" fontId="0" fillId="0" borderId="142" xfId="0" quotePrefix="1" applyBorder="1" applyAlignment="1">
      <alignment horizontal="center" vertical="center" wrapText="1"/>
    </xf>
    <xf numFmtId="0" fontId="0" fillId="0" borderId="152" xfId="0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70" fontId="0" fillId="0" borderId="153" xfId="0" applyNumberFormat="1" applyFill="1" applyBorder="1" applyAlignment="1">
      <alignment horizontal="center"/>
    </xf>
    <xf numFmtId="0" fontId="0" fillId="0" borderId="154" xfId="0" applyFill="1" applyBorder="1" applyAlignment="1">
      <alignment horizontal="center"/>
    </xf>
    <xf numFmtId="170" fontId="0" fillId="0" borderId="155" xfId="0" applyNumberFormat="1" applyFill="1" applyBorder="1" applyAlignment="1">
      <alignment horizontal="center"/>
    </xf>
    <xf numFmtId="0" fontId="0" fillId="0" borderId="155" xfId="0" applyFill="1" applyBorder="1" applyAlignment="1">
      <alignment horizontal="center"/>
    </xf>
    <xf numFmtId="170" fontId="0" fillId="0" borderId="156" xfId="0" applyNumberFormat="1" applyFill="1" applyBorder="1" applyAlignment="1">
      <alignment horizontal="center"/>
    </xf>
    <xf numFmtId="1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4" fontId="0" fillId="0" borderId="153" xfId="0" applyNumberFormat="1" applyFill="1" applyBorder="1" applyAlignment="1">
      <alignment horizontal="center"/>
    </xf>
    <xf numFmtId="4" fontId="0" fillId="0" borderId="156" xfId="0" applyNumberFormat="1" applyFill="1" applyBorder="1" applyAlignment="1">
      <alignment horizont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17" xfId="0" applyFont="1" applyBorder="1" applyAlignment="1">
      <alignment horizontal="center" vertical="center" textRotation="90" wrapText="1"/>
    </xf>
    <xf numFmtId="0" fontId="9" fillId="0" borderId="17" xfId="0" applyFont="1" applyBorder="1" applyAlignment="1">
      <alignment horizontal="center" vertical="center" textRotation="90"/>
    </xf>
    <xf numFmtId="0" fontId="10" fillId="0" borderId="75" xfId="0" applyFont="1" applyBorder="1" applyAlignment="1">
      <alignment horizontal="right" vertical="center"/>
    </xf>
    <xf numFmtId="0" fontId="9" fillId="0" borderId="23" xfId="0" applyFont="1" applyBorder="1" applyAlignment="1">
      <alignment horizontal="center" vertical="center"/>
    </xf>
    <xf numFmtId="0" fontId="11" fillId="0" borderId="12" xfId="0" applyFont="1" applyBorder="1" applyAlignment="1">
      <alignment horizontal="right" vertical="center"/>
    </xf>
    <xf numFmtId="0" fontId="14" fillId="2" borderId="19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/>
    </xf>
    <xf numFmtId="0" fontId="9" fillId="0" borderId="80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 wrapText="1"/>
    </xf>
    <xf numFmtId="0" fontId="14" fillId="2" borderId="80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center"/>
    </xf>
    <xf numFmtId="0" fontId="14" fillId="3" borderId="27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14" fillId="6" borderId="9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14" fillId="4" borderId="76" xfId="0" applyFont="1" applyFill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9" fillId="0" borderId="64" xfId="0" applyFont="1" applyBorder="1" applyAlignment="1">
      <alignment horizontal="center" vertical="center"/>
    </xf>
    <xf numFmtId="0" fontId="9" fillId="0" borderId="78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79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13" fillId="0" borderId="12" xfId="0" applyFont="1" applyBorder="1" applyAlignment="1">
      <alignment horizontal="right" vertical="center"/>
    </xf>
    <xf numFmtId="0" fontId="9" fillId="0" borderId="12" xfId="0" applyFont="1" applyBorder="1" applyAlignment="1">
      <alignment horizontal="right" vertical="center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3" fillId="8" borderId="116" xfId="0" applyFont="1" applyFill="1" applyBorder="1" applyAlignment="1">
      <alignment horizontal="center" vertical="center" wrapText="1"/>
    </xf>
    <xf numFmtId="0" fontId="13" fillId="8" borderId="117" xfId="0" applyFont="1" applyFill="1" applyBorder="1" applyAlignment="1">
      <alignment horizontal="center" vertical="center"/>
    </xf>
    <xf numFmtId="0" fontId="13" fillId="8" borderId="118" xfId="0" applyFont="1" applyFill="1" applyBorder="1" applyAlignment="1">
      <alignment horizontal="center" vertical="center"/>
    </xf>
    <xf numFmtId="0" fontId="13" fillId="8" borderId="119" xfId="0" applyFont="1" applyFill="1" applyBorder="1" applyAlignment="1">
      <alignment horizontal="center" vertical="center"/>
    </xf>
    <xf numFmtId="0" fontId="13" fillId="8" borderId="120" xfId="0" applyFont="1" applyFill="1" applyBorder="1" applyAlignment="1">
      <alignment horizontal="center" vertical="center"/>
    </xf>
    <xf numFmtId="0" fontId="13" fillId="8" borderId="121" xfId="0" applyFont="1" applyFill="1" applyBorder="1" applyAlignment="1">
      <alignment horizontal="center" vertical="center"/>
    </xf>
    <xf numFmtId="0" fontId="13" fillId="8" borderId="119" xfId="0" applyFont="1" applyFill="1" applyBorder="1" applyAlignment="1">
      <alignment horizontal="center" vertical="center" wrapText="1"/>
    </xf>
    <xf numFmtId="0" fontId="13" fillId="8" borderId="72" xfId="0" applyFont="1" applyFill="1" applyBorder="1" applyAlignment="1">
      <alignment horizontal="center" vertical="center"/>
    </xf>
    <xf numFmtId="0" fontId="13" fillId="8" borderId="73" xfId="0" applyFont="1" applyFill="1" applyBorder="1" applyAlignment="1">
      <alignment horizontal="center" vertical="center"/>
    </xf>
    <xf numFmtId="0" fontId="13" fillId="8" borderId="74" xfId="0" applyFont="1" applyFill="1" applyBorder="1" applyAlignment="1">
      <alignment horizontal="center" vertical="center"/>
    </xf>
    <xf numFmtId="0" fontId="13" fillId="8" borderId="122" xfId="0" applyFont="1" applyFill="1" applyBorder="1" applyAlignment="1">
      <alignment horizontal="center" vertical="center"/>
    </xf>
    <xf numFmtId="0" fontId="13" fillId="8" borderId="123" xfId="0" applyFont="1" applyFill="1" applyBorder="1" applyAlignment="1">
      <alignment horizontal="center" vertical="center"/>
    </xf>
    <xf numFmtId="0" fontId="13" fillId="8" borderId="124" xfId="0" applyFont="1" applyFill="1" applyBorder="1" applyAlignment="1">
      <alignment horizontal="center" vertical="center"/>
    </xf>
    <xf numFmtId="0" fontId="12" fillId="8" borderId="107" xfId="0" applyFont="1" applyFill="1" applyBorder="1" applyAlignment="1">
      <alignment horizontal="center" vertical="center" wrapText="1"/>
    </xf>
    <xf numFmtId="0" fontId="12" fillId="8" borderId="108" xfId="0" applyFont="1" applyFill="1" applyBorder="1" applyAlignment="1">
      <alignment horizontal="center" vertical="center"/>
    </xf>
    <xf numFmtId="0" fontId="12" fillId="8" borderId="109" xfId="0" applyFont="1" applyFill="1" applyBorder="1" applyAlignment="1">
      <alignment horizontal="center" vertical="center"/>
    </xf>
    <xf numFmtId="0" fontId="12" fillId="8" borderId="110" xfId="0" applyFont="1" applyFill="1" applyBorder="1" applyAlignment="1">
      <alignment horizontal="center" vertical="center"/>
    </xf>
    <xf numFmtId="0" fontId="12" fillId="8" borderId="111" xfId="0" applyFont="1" applyFill="1" applyBorder="1" applyAlignment="1">
      <alignment horizontal="center" vertical="center"/>
    </xf>
    <xf numFmtId="0" fontId="12" fillId="8" borderId="112" xfId="0" applyFont="1" applyFill="1" applyBorder="1" applyAlignment="1">
      <alignment horizontal="center" vertical="center"/>
    </xf>
    <xf numFmtId="0" fontId="12" fillId="8" borderId="110" xfId="0" applyFont="1" applyFill="1" applyBorder="1" applyAlignment="1">
      <alignment horizontal="center" vertical="center" wrapText="1"/>
    </xf>
    <xf numFmtId="0" fontId="12" fillId="8" borderId="128" xfId="0" applyFont="1" applyFill="1" applyBorder="1" applyAlignment="1">
      <alignment horizontal="center" vertical="center"/>
    </xf>
    <xf numFmtId="0" fontId="12" fillId="8" borderId="129" xfId="0" applyFont="1" applyFill="1" applyBorder="1" applyAlignment="1">
      <alignment horizontal="center" vertical="center"/>
    </xf>
    <xf numFmtId="0" fontId="12" fillId="8" borderId="130" xfId="0" applyFont="1" applyFill="1" applyBorder="1" applyAlignment="1">
      <alignment horizontal="center" vertical="center"/>
    </xf>
    <xf numFmtId="0" fontId="12" fillId="8" borderId="113" xfId="0" applyFont="1" applyFill="1" applyBorder="1" applyAlignment="1">
      <alignment horizontal="center" vertical="center"/>
    </xf>
    <xf numFmtId="0" fontId="12" fillId="8" borderId="114" xfId="0" applyFont="1" applyFill="1" applyBorder="1" applyAlignment="1">
      <alignment horizontal="center" vertical="center"/>
    </xf>
    <xf numFmtId="0" fontId="12" fillId="8" borderId="115" xfId="0" applyFont="1" applyFill="1" applyBorder="1" applyAlignment="1">
      <alignment horizontal="center" vertical="center"/>
    </xf>
    <xf numFmtId="0" fontId="10" fillId="8" borderId="92" xfId="0" applyFont="1" applyFill="1" applyBorder="1" applyAlignment="1">
      <alignment horizontal="center" vertical="center" wrapText="1"/>
    </xf>
    <xf numFmtId="0" fontId="10" fillId="8" borderId="93" xfId="0" applyFont="1" applyFill="1" applyBorder="1" applyAlignment="1">
      <alignment horizontal="center" vertical="center"/>
    </xf>
    <xf numFmtId="0" fontId="10" fillId="8" borderId="94" xfId="0" applyFont="1" applyFill="1" applyBorder="1" applyAlignment="1">
      <alignment horizontal="center" vertical="center"/>
    </xf>
    <xf numFmtId="0" fontId="10" fillId="8" borderId="92" xfId="0" applyFont="1" applyFill="1" applyBorder="1" applyAlignment="1">
      <alignment horizontal="center" vertical="center"/>
    </xf>
    <xf numFmtId="0" fontId="10" fillId="8" borderId="69" xfId="0" applyFont="1" applyFill="1" applyBorder="1" applyAlignment="1">
      <alignment horizontal="center" vertical="center"/>
    </xf>
    <xf numFmtId="0" fontId="10" fillId="8" borderId="70" xfId="0" applyFont="1" applyFill="1" applyBorder="1" applyAlignment="1">
      <alignment horizontal="center" vertical="center"/>
    </xf>
    <xf numFmtId="0" fontId="10" fillId="8" borderId="71" xfId="0" applyFont="1" applyFill="1" applyBorder="1" applyAlignment="1">
      <alignment horizontal="center" vertical="center"/>
    </xf>
    <xf numFmtId="0" fontId="10" fillId="8" borderId="95" xfId="0" applyFont="1" applyFill="1" applyBorder="1" applyAlignment="1">
      <alignment horizontal="center" vertical="center"/>
    </xf>
    <xf numFmtId="0" fontId="10" fillId="8" borderId="96" xfId="0" applyFont="1" applyFill="1" applyBorder="1" applyAlignment="1">
      <alignment horizontal="center" vertical="center"/>
    </xf>
    <xf numFmtId="0" fontId="10" fillId="8" borderId="97" xfId="0" applyFont="1" applyFill="1" applyBorder="1" applyAlignment="1">
      <alignment horizontal="center" vertical="center"/>
    </xf>
    <xf numFmtId="0" fontId="11" fillId="8" borderId="98" xfId="0" applyFont="1" applyFill="1" applyBorder="1" applyAlignment="1">
      <alignment horizontal="center" vertical="center" wrapText="1"/>
    </xf>
    <xf numFmtId="0" fontId="11" fillId="8" borderId="99" xfId="0" applyFont="1" applyFill="1" applyBorder="1" applyAlignment="1">
      <alignment horizontal="center" vertical="center"/>
    </xf>
    <xf numFmtId="0" fontId="11" fillId="8" borderId="100" xfId="0" applyFont="1" applyFill="1" applyBorder="1" applyAlignment="1">
      <alignment horizontal="center" vertical="center"/>
    </xf>
    <xf numFmtId="0" fontId="11" fillId="8" borderId="101" xfId="0" applyFont="1" applyFill="1" applyBorder="1" applyAlignment="1">
      <alignment horizontal="center" vertical="center"/>
    </xf>
    <xf numFmtId="0" fontId="11" fillId="8" borderId="102" xfId="0" applyFont="1" applyFill="1" applyBorder="1" applyAlignment="1">
      <alignment horizontal="center" vertical="center"/>
    </xf>
    <xf numFmtId="0" fontId="11" fillId="8" borderId="103" xfId="0" applyFont="1" applyFill="1" applyBorder="1" applyAlignment="1">
      <alignment horizontal="center" vertical="center"/>
    </xf>
    <xf numFmtId="0" fontId="11" fillId="8" borderId="101" xfId="0" applyFont="1" applyFill="1" applyBorder="1" applyAlignment="1">
      <alignment horizontal="center" vertical="center" wrapText="1"/>
    </xf>
    <xf numFmtId="0" fontId="11" fillId="8" borderId="125" xfId="0" applyFont="1" applyFill="1" applyBorder="1" applyAlignment="1">
      <alignment horizontal="center" vertical="center"/>
    </xf>
    <xf numFmtId="0" fontId="11" fillId="8" borderId="126" xfId="0" applyFont="1" applyFill="1" applyBorder="1" applyAlignment="1">
      <alignment horizontal="center" vertical="center"/>
    </xf>
    <xf numFmtId="0" fontId="11" fillId="8" borderId="127" xfId="0" applyFont="1" applyFill="1" applyBorder="1" applyAlignment="1">
      <alignment horizontal="center" vertical="center"/>
    </xf>
    <xf numFmtId="0" fontId="11" fillId="8" borderId="104" xfId="0" applyFont="1" applyFill="1" applyBorder="1" applyAlignment="1">
      <alignment horizontal="center" vertical="center"/>
    </xf>
    <xf numFmtId="0" fontId="11" fillId="8" borderId="105" xfId="0" applyFont="1" applyFill="1" applyBorder="1" applyAlignment="1">
      <alignment horizontal="center" vertical="center"/>
    </xf>
    <xf numFmtId="0" fontId="11" fillId="8" borderId="106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 textRotation="90"/>
    </xf>
    <xf numFmtId="0" fontId="10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8" borderId="45" xfId="0" applyFont="1" applyFill="1" applyBorder="1" applyAlignment="1">
      <alignment horizontal="center" vertical="center"/>
    </xf>
    <xf numFmtId="0" fontId="23" fillId="8" borderId="46" xfId="0" applyFont="1" applyFill="1" applyBorder="1" applyAlignment="1">
      <alignment horizontal="center" vertical="center"/>
    </xf>
    <xf numFmtId="0" fontId="23" fillId="8" borderId="47" xfId="0" applyFont="1" applyFill="1" applyBorder="1" applyAlignment="1">
      <alignment horizontal="center" vertical="center"/>
    </xf>
    <xf numFmtId="0" fontId="23" fillId="8" borderId="48" xfId="0" applyFont="1" applyFill="1" applyBorder="1" applyAlignment="1">
      <alignment horizontal="center" vertical="center"/>
    </xf>
    <xf numFmtId="0" fontId="23" fillId="8" borderId="0" xfId="0" applyFont="1" applyFill="1" applyBorder="1" applyAlignment="1">
      <alignment horizontal="center" vertical="center"/>
    </xf>
    <xf numFmtId="0" fontId="23" fillId="8" borderId="49" xfId="0" applyFont="1" applyFill="1" applyBorder="1" applyAlignment="1">
      <alignment horizontal="center" vertical="center"/>
    </xf>
    <xf numFmtId="0" fontId="23" fillId="8" borderId="83" xfId="0" applyFont="1" applyFill="1" applyBorder="1" applyAlignment="1">
      <alignment horizontal="center" vertical="center"/>
    </xf>
    <xf numFmtId="0" fontId="23" fillId="8" borderId="84" xfId="0" applyFont="1" applyFill="1" applyBorder="1" applyAlignment="1">
      <alignment horizontal="center" vertical="center"/>
    </xf>
    <xf numFmtId="0" fontId="23" fillId="8" borderId="85" xfId="0" applyFont="1" applyFill="1" applyBorder="1" applyAlignment="1">
      <alignment horizontal="center" vertical="center"/>
    </xf>
    <xf numFmtId="0" fontId="23" fillId="8" borderId="86" xfId="0" applyFont="1" applyFill="1" applyBorder="1" applyAlignment="1">
      <alignment horizontal="center" vertical="center"/>
    </xf>
    <xf numFmtId="0" fontId="23" fillId="8" borderId="87" xfId="0" applyFont="1" applyFill="1" applyBorder="1" applyAlignment="1">
      <alignment horizontal="center" vertical="center"/>
    </xf>
    <xf numFmtId="0" fontId="23" fillId="8" borderId="88" xfId="0" applyFont="1" applyFill="1" applyBorder="1" applyAlignment="1">
      <alignment horizontal="center" vertical="center"/>
    </xf>
    <xf numFmtId="0" fontId="23" fillId="8" borderId="50" xfId="0" applyFont="1" applyFill="1" applyBorder="1" applyAlignment="1">
      <alignment horizontal="center" vertical="center"/>
    </xf>
    <xf numFmtId="0" fontId="23" fillId="8" borderId="51" xfId="0" applyFont="1" applyFill="1" applyBorder="1" applyAlignment="1">
      <alignment horizontal="center" vertical="center"/>
    </xf>
    <xf numFmtId="0" fontId="23" fillId="8" borderId="52" xfId="0" applyFont="1" applyFill="1" applyBorder="1" applyAlignment="1">
      <alignment horizontal="center" vertical="center"/>
    </xf>
    <xf numFmtId="0" fontId="10" fillId="8" borderId="89" xfId="0" applyFont="1" applyFill="1" applyBorder="1" applyAlignment="1">
      <alignment horizontal="center" vertical="center" wrapText="1"/>
    </xf>
    <xf numFmtId="0" fontId="10" fillId="8" borderId="90" xfId="0" applyFont="1" applyFill="1" applyBorder="1" applyAlignment="1">
      <alignment horizontal="center" vertical="center"/>
    </xf>
    <xf numFmtId="0" fontId="10" fillId="8" borderId="9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  <color rgb="FFFFFFCC"/>
      <color rgb="FF006600"/>
      <color rgb="FF3333FF"/>
      <color rgb="FFCC00FF"/>
      <color rgb="FFFF3399"/>
      <color rgb="FF000099"/>
      <color rgb="FF00CC00"/>
      <color rgb="FF9900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USD3ML Forward Rates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USD3ML Forward Rates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Interpolation!$J$4:$J$12</c:f>
              <c:strCache>
                <c:ptCount val="9"/>
                <c:pt idx="0">
                  <c:v>3M</c:v>
                </c:pt>
                <c:pt idx="1">
                  <c:v>1Y</c:v>
                </c:pt>
                <c:pt idx="2">
                  <c:v>2Y</c:v>
                </c:pt>
                <c:pt idx="3">
                  <c:v>5Y</c:v>
                </c:pt>
                <c:pt idx="4">
                  <c:v>10Y</c:v>
                </c:pt>
                <c:pt idx="5">
                  <c:v>12Y</c:v>
                </c:pt>
                <c:pt idx="6">
                  <c:v>15Y</c:v>
                </c:pt>
                <c:pt idx="7">
                  <c:v>20Y</c:v>
                </c:pt>
                <c:pt idx="8">
                  <c:v>30Y</c:v>
                </c:pt>
              </c:strCache>
            </c:strRef>
          </c:cat>
          <c:val>
            <c:numRef>
              <c:f>Interpolation!$K$4:$K$12</c:f>
              <c:numCache>
                <c:formatCode>0.0000%</c:formatCode>
                <c:ptCount val="9"/>
                <c:pt idx="0">
                  <c:v>2.1383800000000001E-2</c:v>
                </c:pt>
                <c:pt idx="1">
                  <c:v>1.3599999999999994E-2</c:v>
                </c:pt>
                <c:pt idx="2">
                  <c:v>1.2450000000000046E-2</c:v>
                </c:pt>
                <c:pt idx="3">
                  <c:v>1.4067000000000001E-2</c:v>
                </c:pt>
                <c:pt idx="4">
                  <c:v>1.4999999999999999E-2</c:v>
                </c:pt>
                <c:pt idx="5">
                  <c:v>1.5442000000000001E-2</c:v>
                </c:pt>
                <c:pt idx="6">
                  <c:v>1.5935999999999999E-2</c:v>
                </c:pt>
                <c:pt idx="7">
                  <c:v>1.6493999999999998E-2</c:v>
                </c:pt>
                <c:pt idx="8">
                  <c:v>1.6781999999999998E-2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2FE-43C9-B1AE-C3E4F5301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641280"/>
        <c:axId val="212643200"/>
      </c:lineChart>
      <c:catAx>
        <c:axId val="212641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Term, years</a:t>
                </a:r>
              </a:p>
            </c:rich>
          </c:tx>
          <c:layout>
            <c:manualLayout>
              <c:xMode val="edge"/>
              <c:yMode val="edge"/>
              <c:x val="0.43415157480314953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43200"/>
        <c:crosses val="autoZero"/>
        <c:auto val="1"/>
        <c:lblAlgn val="ctr"/>
        <c:lblOffset val="100"/>
        <c:noMultiLvlLbl val="0"/>
      </c:catAx>
      <c:valAx>
        <c:axId val="2126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4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USD3ML</a:t>
            </a:r>
            <a:r>
              <a:rPr lang="en-US" sz="1800" b="0" i="0" baseline="0">
                <a:effectLst/>
              </a:rPr>
              <a:t> </a:t>
            </a:r>
            <a:r>
              <a:rPr lang="en-US" sz="1400" b="0" i="0" baseline="0">
                <a:effectLst/>
              </a:rPr>
              <a:t>Forward</a:t>
            </a:r>
            <a:r>
              <a:rPr lang="en-US" sz="1800" b="0" i="0" baseline="0">
                <a:effectLst/>
              </a:rPr>
              <a:t> </a:t>
            </a:r>
            <a:r>
              <a:rPr lang="en-US" sz="1400" b="0" i="0" baseline="0">
                <a:effectLst/>
              </a:rPr>
              <a:t>Rates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011697748307777"/>
          <c:y val="0.14079675916779621"/>
          <c:w val="0.83535803287746924"/>
          <c:h val="0.69823077987675197"/>
        </c:manualLayout>
      </c:layout>
      <c:lineChart>
        <c:grouping val="standard"/>
        <c:varyColors val="0"/>
        <c:ser>
          <c:idx val="0"/>
          <c:order val="0"/>
          <c:tx>
            <c:strRef>
              <c:f>Interpolation!$K$19</c:f>
              <c:strCache>
                <c:ptCount val="1"/>
                <c:pt idx="0">
                  <c:v>Interpolated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Interpolation!$J$20:$J$39</c:f>
              <c:numCache>
                <c:formatCode>#,##0.00</c:formatCode>
                <c:ptCount val="20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</c:numCache>
            </c:numRef>
          </c:cat>
          <c:val>
            <c:numRef>
              <c:f>Interpolation!$K$20:$K$39</c:f>
              <c:numCache>
                <c:formatCode>0.0000%</c:formatCode>
                <c:ptCount val="20"/>
                <c:pt idx="0">
                  <c:v>2.1383800000000001E-2</c:v>
                </c:pt>
                <c:pt idx="1">
                  <c:v>1.8343902469135802E-2</c:v>
                </c:pt>
                <c:pt idx="2">
                  <c:v>1.5637978086419754E-2</c:v>
                </c:pt>
                <c:pt idx="3">
                  <c:v>1.3599999999999999E-2</c:v>
                </c:pt>
                <c:pt idx="4">
                  <c:v>1.2464613020833331E-2</c:v>
                </c:pt>
                <c:pt idx="5">
                  <c:v>1.206914861111111E-2</c:v>
                </c:pt>
                <c:pt idx="6">
                  <c:v>1.2151609895833332E-2</c:v>
                </c:pt>
                <c:pt idx="7">
                  <c:v>1.2449999999999999E-2</c:v>
                </c:pt>
                <c:pt idx="8">
                  <c:v>1.2746628028549381E-2</c:v>
                </c:pt>
                <c:pt idx="9">
                  <c:v>1.300102700617284E-2</c:v>
                </c:pt>
                <c:pt idx="10">
                  <c:v>1.3217035937499998E-2</c:v>
                </c:pt>
                <c:pt idx="11">
                  <c:v>1.339849382716049E-2</c:v>
                </c:pt>
                <c:pt idx="12">
                  <c:v>1.3549239679783951E-2</c:v>
                </c:pt>
                <c:pt idx="13">
                  <c:v>1.3673112499999999E-2</c:v>
                </c:pt>
                <c:pt idx="14">
                  <c:v>1.3773951292438271E-2</c:v>
                </c:pt>
                <c:pt idx="15">
                  <c:v>1.3855595061728393E-2</c:v>
                </c:pt>
                <c:pt idx="16">
                  <c:v>1.3921882812500001E-2</c:v>
                </c:pt>
                <c:pt idx="17">
                  <c:v>1.3976653549382717E-2</c:v>
                </c:pt>
                <c:pt idx="18">
                  <c:v>1.4023746277006173E-2</c:v>
                </c:pt>
                <c:pt idx="19">
                  <c:v>1.4067E-2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DF6-4899-87AB-69F03A2D4C30}"/>
            </c:ext>
          </c:extLst>
        </c:ser>
        <c:ser>
          <c:idx val="1"/>
          <c:order val="1"/>
          <c:tx>
            <c:strRef>
              <c:f>Interpolation!$L$19</c:f>
              <c:strCache>
                <c:ptCount val="1"/>
                <c:pt idx="0">
                  <c:v>Quote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Interpolation!$J$20:$J$39</c:f>
              <c:numCache>
                <c:formatCode>#,##0.00</c:formatCode>
                <c:ptCount val="20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</c:numCache>
            </c:numRef>
          </c:cat>
          <c:val>
            <c:numRef>
              <c:f>Interpolation!$L$20:$L$39</c:f>
              <c:numCache>
                <c:formatCode>General</c:formatCode>
                <c:ptCount val="20"/>
                <c:pt idx="0" formatCode="0.0000%">
                  <c:v>2.1383800000000001E-2</c:v>
                </c:pt>
                <c:pt idx="3" formatCode="0.0000%">
                  <c:v>1.3599999999999994E-2</c:v>
                </c:pt>
                <c:pt idx="7" formatCode="0.0000%">
                  <c:v>1.2450000000000046E-2</c:v>
                </c:pt>
                <c:pt idx="19" formatCode="0.0000%">
                  <c:v>1.4067000000000001E-2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F6-4899-87AB-69F03A2D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50176"/>
        <c:axId val="238460928"/>
      </c:lineChart>
      <c:catAx>
        <c:axId val="238450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Term,</a:t>
                </a:r>
                <a:r>
                  <a:rPr lang="en-GB" b="1" baseline="0"/>
                  <a:t> years</a:t>
                </a:r>
                <a:endParaRPr lang="en-GB" b="1"/>
              </a:p>
            </c:rich>
          </c:tx>
          <c:layout>
            <c:manualLayout>
              <c:xMode val="edge"/>
              <c:yMode val="edge"/>
              <c:x val="0.44061002900953178"/>
              <c:y val="0.915873696710253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460928"/>
        <c:crosses val="autoZero"/>
        <c:auto val="1"/>
        <c:lblAlgn val="ctr"/>
        <c:lblOffset val="100"/>
        <c:noMultiLvlLbl val="0"/>
      </c:catAx>
      <c:valAx>
        <c:axId val="23846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45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801795828153057"/>
          <c:y val="0.59454892361393574"/>
          <c:w val="0.2411568448680757"/>
          <c:h val="0.200838944077790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Forward</a:t>
            </a:r>
            <a:r>
              <a:rPr lang="en-GB" baseline="0"/>
              <a:t> Rates, USD3ML</a:t>
            </a:r>
            <a:endParaRPr lang="en-GB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'Bootrapping USD3ML'!$H$10</c:f>
              <c:strCache>
                <c:ptCount val="1"/>
                <c:pt idx="0">
                  <c:v>Tenor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'Bootrapping USD3ML'!$H$11:$H$15</c:f>
              <c:numCache>
                <c:formatCode>#,##0.00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'Bootrapping USD3ML'!$I$11:$I$15</c:f>
              <c:numCache>
                <c:formatCode>0.00000%</c:formatCode>
                <c:ptCount val="5"/>
                <c:pt idx="0">
                  <c:v>1.7891899999999999E-2</c:v>
                </c:pt>
                <c:pt idx="1">
                  <c:v>1.1297500000000004E-2</c:v>
                </c:pt>
                <c:pt idx="2">
                  <c:v>1.6389599999999997E-2</c:v>
                </c:pt>
                <c:pt idx="3">
                  <c:v>1.8565000000000009E-2</c:v>
                </c:pt>
                <c:pt idx="4">
                  <c:v>1.8795999999999993E-2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BA7-4E82-8EA4-86B5007C5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02112"/>
        <c:axId val="207404032"/>
      </c:lineChart>
      <c:catAx>
        <c:axId val="207402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Tenor,</a:t>
                </a:r>
                <a:r>
                  <a:rPr lang="en-GB" b="1" baseline="0"/>
                  <a:t> 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404032"/>
        <c:crosses val="autoZero"/>
        <c:auto val="1"/>
        <c:lblAlgn val="ctr"/>
        <c:lblOffset val="100"/>
        <c:noMultiLvlLbl val="0"/>
      </c:catAx>
      <c:valAx>
        <c:axId val="20740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Libor</a:t>
                </a:r>
                <a:r>
                  <a:rPr lang="en-GB" baseline="0"/>
                  <a:t> Forward Rate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5157232704402517E-2"/>
              <c:y val="0.2510514858340982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40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SOFR Curve Forward Rates</a:t>
            </a:r>
            <a:br>
              <a:rPr lang="en-GB"/>
            </a:br>
            <a:r>
              <a:rPr lang="en-GB" sz="1000" b="1"/>
              <a:t>By</a:t>
            </a:r>
            <a:r>
              <a:rPr lang="en-GB" sz="1000" b="1" baseline="0"/>
              <a:t> Instrument (Not to Scale)</a:t>
            </a:r>
            <a:endParaRPr lang="en-GB" sz="10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330927384077"/>
          <c:y val="0.14475907035799507"/>
          <c:w val="0.84311351706036741"/>
          <c:h val="0.64075697120000419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'USD SOFR'!$W$32:$W$49</c:f>
              <c:strCache>
                <c:ptCount val="18"/>
                <c:pt idx="0">
                  <c:v>1D</c:v>
                </c:pt>
                <c:pt idx="1">
                  <c:v>MPC1</c:v>
                </c:pt>
                <c:pt idx="2">
                  <c:v>MPC2</c:v>
                </c:pt>
                <c:pt idx="3">
                  <c:v>MPC3</c:v>
                </c:pt>
                <c:pt idx="4">
                  <c:v>MPC4</c:v>
                </c:pt>
                <c:pt idx="5">
                  <c:v>M0</c:v>
                </c:pt>
                <c:pt idx="6">
                  <c:v>U0</c:v>
                </c:pt>
                <c:pt idx="7">
                  <c:v>Z0</c:v>
                </c:pt>
                <c:pt idx="8">
                  <c:v>H1</c:v>
                </c:pt>
                <c:pt idx="9">
                  <c:v>3Y</c:v>
                </c:pt>
                <c:pt idx="10">
                  <c:v>5Y</c:v>
                </c:pt>
                <c:pt idx="11">
                  <c:v>7Y</c:v>
                </c:pt>
                <c:pt idx="12">
                  <c:v>10Y</c:v>
                </c:pt>
                <c:pt idx="13">
                  <c:v>15Y</c:v>
                </c:pt>
                <c:pt idx="14">
                  <c:v>20Y</c:v>
                </c:pt>
                <c:pt idx="15">
                  <c:v>30Y</c:v>
                </c:pt>
                <c:pt idx="16">
                  <c:v>40Y</c:v>
                </c:pt>
                <c:pt idx="17">
                  <c:v>50Y</c:v>
                </c:pt>
              </c:strCache>
            </c:strRef>
          </c:cat>
          <c:val>
            <c:numRef>
              <c:f>'USD SOFR'!$X$32:$X$49</c:f>
              <c:numCache>
                <c:formatCode>#,##0.00000</c:formatCode>
                <c:ptCount val="18"/>
                <c:pt idx="0">
                  <c:v>2.12</c:v>
                </c:pt>
                <c:pt idx="1">
                  <c:v>2.2126600000000001</c:v>
                </c:pt>
                <c:pt idx="2">
                  <c:v>1.8598699999999999</c:v>
                </c:pt>
                <c:pt idx="3">
                  <c:v>1.5793900000000001</c:v>
                </c:pt>
                <c:pt idx="4">
                  <c:v>1.3886000000000001</c:v>
                </c:pt>
                <c:pt idx="5">
                  <c:v>1.3025199999999999</c:v>
                </c:pt>
                <c:pt idx="6">
                  <c:v>1.2061500000000001</c:v>
                </c:pt>
                <c:pt idx="7">
                  <c:v>1.1595</c:v>
                </c:pt>
                <c:pt idx="8">
                  <c:v>1.1832299999999978</c:v>
                </c:pt>
                <c:pt idx="9">
                  <c:v>1.22559</c:v>
                </c:pt>
                <c:pt idx="10">
                  <c:v>1.20502</c:v>
                </c:pt>
                <c:pt idx="11">
                  <c:v>1.23028</c:v>
                </c:pt>
                <c:pt idx="12">
                  <c:v>1.29071</c:v>
                </c:pt>
                <c:pt idx="13">
                  <c:v>1.36849</c:v>
                </c:pt>
                <c:pt idx="14">
                  <c:v>1.4110199999999999</c:v>
                </c:pt>
                <c:pt idx="15">
                  <c:v>1.4213499999999999</c:v>
                </c:pt>
                <c:pt idx="16">
                  <c:v>1.40063</c:v>
                </c:pt>
                <c:pt idx="17">
                  <c:v>1.36656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49B-40C9-BFEA-E3D87D77D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85408"/>
        <c:axId val="214387328"/>
      </c:lineChart>
      <c:catAx>
        <c:axId val="214385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Instrument</a:t>
                </a:r>
                <a:r>
                  <a:rPr lang="en-GB" b="1" baseline="0"/>
                  <a:t> / Tenor</a:t>
                </a:r>
                <a:endParaRPr lang="en-GB" b="1"/>
              </a:p>
            </c:rich>
          </c:tx>
          <c:layout>
            <c:manualLayout>
              <c:xMode val="edge"/>
              <c:yMode val="edge"/>
              <c:x val="0.40915501233987545"/>
              <c:y val="0.898148385521577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387328"/>
        <c:crosses val="autoZero"/>
        <c:auto val="1"/>
        <c:lblAlgn val="ctr"/>
        <c:lblOffset val="100"/>
        <c:noMultiLvlLbl val="0"/>
      </c:catAx>
      <c:valAx>
        <c:axId val="2143873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38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SOFR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860779944784246E-2"/>
          <c:y val="7.5407081593415512E-2"/>
          <c:w val="0.90118888464759273"/>
          <c:h val="0.80991439735792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'USD SOFR'!$O$3</c:f>
              <c:strCache>
                <c:ptCount val="1"/>
                <c:pt idx="0">
                  <c:v>Cash Deposit - Linear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'USD SOFR'!$N$5:$N$6</c:f>
              <c:numCache>
                <c:formatCode>#,##0.00</c:formatCode>
                <c:ptCount val="2"/>
                <c:pt idx="0">
                  <c:v>0</c:v>
                </c:pt>
                <c:pt idx="1">
                  <c:v>2.1917808219178082E-2</c:v>
                </c:pt>
              </c:numCache>
            </c:numRef>
          </c:xVal>
          <c:yVal>
            <c:numRef>
              <c:f>'USD SOFR'!$O$5:$O$6</c:f>
              <c:numCache>
                <c:formatCode>#,##0.00000</c:formatCode>
                <c:ptCount val="2"/>
                <c:pt idx="0">
                  <c:v>2.12</c:v>
                </c:pt>
                <c:pt idx="1">
                  <c:v>2.2126600000000001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29-4734-965D-8D2CCF65A5E8}"/>
            </c:ext>
          </c:extLst>
        </c:ser>
        <c:ser>
          <c:idx val="0"/>
          <c:order val="1"/>
          <c:tx>
            <c:strRef>
              <c:f>'USD SOFR'!$P$3</c:f>
              <c:strCache>
                <c:ptCount val="1"/>
                <c:pt idx="0">
                  <c:v>MPC Swaps - Piecewise Constant with Jumps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'USD SOFR'!$N$5:$N$123</c:f>
              <c:numCache>
                <c:formatCode>#,##0.00</c:formatCode>
                <c:ptCount val="119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</c:numCache>
            </c:numRef>
          </c:xVal>
          <c:yVal>
            <c:numRef>
              <c:f>'USD SOFR'!$P$5:$P$123</c:f>
              <c:numCache>
                <c:formatCode>#,##0.00000</c:formatCode>
                <c:ptCount val="119"/>
                <c:pt idx="1">
                  <c:v>2.2126600000000001</c:v>
                </c:pt>
                <c:pt idx="2">
                  <c:v>2.2126600000000001</c:v>
                </c:pt>
                <c:pt idx="3">
                  <c:v>2.2126600000000001</c:v>
                </c:pt>
                <c:pt idx="4">
                  <c:v>2.2126600000000001</c:v>
                </c:pt>
                <c:pt idx="5">
                  <c:v>2.4126600000000002</c:v>
                </c:pt>
                <c:pt idx="6">
                  <c:v>2.2126600000000001</c:v>
                </c:pt>
                <c:pt idx="7">
                  <c:v>2.2126600000000001</c:v>
                </c:pt>
                <c:pt idx="8">
                  <c:v>2.2126600000000001</c:v>
                </c:pt>
                <c:pt idx="9">
                  <c:v>2.2126600000000001</c:v>
                </c:pt>
                <c:pt idx="10">
                  <c:v>2.2126600000000001</c:v>
                </c:pt>
                <c:pt idx="11">
                  <c:v>2.2126600000000001</c:v>
                </c:pt>
                <c:pt idx="12">
                  <c:v>2.2126600000000001</c:v>
                </c:pt>
                <c:pt idx="13">
                  <c:v>2.2126600000000001</c:v>
                </c:pt>
                <c:pt idx="14">
                  <c:v>2.2126600000000001</c:v>
                </c:pt>
                <c:pt idx="15">
                  <c:v>2.2126600000000001</c:v>
                </c:pt>
                <c:pt idx="16">
                  <c:v>2.2126600000000001</c:v>
                </c:pt>
                <c:pt idx="17">
                  <c:v>2.2126600000000001</c:v>
                </c:pt>
                <c:pt idx="18">
                  <c:v>2.2126600000000001</c:v>
                </c:pt>
                <c:pt idx="19">
                  <c:v>2.2126600000000001</c:v>
                </c:pt>
                <c:pt idx="20">
                  <c:v>2.2126600000000001</c:v>
                </c:pt>
                <c:pt idx="21">
                  <c:v>2.2126600000000001</c:v>
                </c:pt>
                <c:pt idx="22">
                  <c:v>2.36266</c:v>
                </c:pt>
                <c:pt idx="23">
                  <c:v>2.2126600000000001</c:v>
                </c:pt>
                <c:pt idx="24">
                  <c:v>1.8598699999999999</c:v>
                </c:pt>
                <c:pt idx="25">
                  <c:v>2.0598700000000001</c:v>
                </c:pt>
                <c:pt idx="26">
                  <c:v>1.8598699999999999</c:v>
                </c:pt>
                <c:pt idx="27">
                  <c:v>1.8598699999999999</c:v>
                </c:pt>
                <c:pt idx="28">
                  <c:v>1.8598699999999999</c:v>
                </c:pt>
                <c:pt idx="29">
                  <c:v>1.8598699999999999</c:v>
                </c:pt>
                <c:pt idx="30">
                  <c:v>1.8598699999999999</c:v>
                </c:pt>
                <c:pt idx="31">
                  <c:v>1.8598699999999999</c:v>
                </c:pt>
                <c:pt idx="32">
                  <c:v>1.8598699999999999</c:v>
                </c:pt>
                <c:pt idx="33">
                  <c:v>1.8598699999999999</c:v>
                </c:pt>
                <c:pt idx="34">
                  <c:v>1.8598699999999999</c:v>
                </c:pt>
                <c:pt idx="35">
                  <c:v>2.1098699999999999</c:v>
                </c:pt>
                <c:pt idx="36">
                  <c:v>1.8598699999999999</c:v>
                </c:pt>
                <c:pt idx="37">
                  <c:v>1.8598699999999999</c:v>
                </c:pt>
                <c:pt idx="38">
                  <c:v>1.8598699999999999</c:v>
                </c:pt>
                <c:pt idx="39">
                  <c:v>1.8598699999999999</c:v>
                </c:pt>
                <c:pt idx="40">
                  <c:v>1.8598699999999999</c:v>
                </c:pt>
                <c:pt idx="41">
                  <c:v>1.8598699999999999</c:v>
                </c:pt>
                <c:pt idx="42">
                  <c:v>1.8598699999999999</c:v>
                </c:pt>
                <c:pt idx="43">
                  <c:v>1.95987</c:v>
                </c:pt>
                <c:pt idx="44">
                  <c:v>1.8598699999999999</c:v>
                </c:pt>
                <c:pt idx="45">
                  <c:v>1.5793900000000001</c:v>
                </c:pt>
                <c:pt idx="46">
                  <c:v>1.77939</c:v>
                </c:pt>
                <c:pt idx="47">
                  <c:v>1.5793900000000001</c:v>
                </c:pt>
                <c:pt idx="48">
                  <c:v>1.5793900000000001</c:v>
                </c:pt>
                <c:pt idx="49">
                  <c:v>1.5793900000000001</c:v>
                </c:pt>
                <c:pt idx="50">
                  <c:v>1.5793900000000001</c:v>
                </c:pt>
                <c:pt idx="51">
                  <c:v>1.5793900000000001</c:v>
                </c:pt>
                <c:pt idx="52">
                  <c:v>1.5793900000000001</c:v>
                </c:pt>
                <c:pt idx="53">
                  <c:v>1.5793900000000001</c:v>
                </c:pt>
                <c:pt idx="54">
                  <c:v>1.5793900000000001</c:v>
                </c:pt>
                <c:pt idx="55">
                  <c:v>1.5793900000000001</c:v>
                </c:pt>
                <c:pt idx="56">
                  <c:v>1.5793900000000001</c:v>
                </c:pt>
                <c:pt idx="57">
                  <c:v>1.6793900000000002</c:v>
                </c:pt>
                <c:pt idx="58">
                  <c:v>1.5793900000000001</c:v>
                </c:pt>
                <c:pt idx="59">
                  <c:v>1.5793900000000001</c:v>
                </c:pt>
                <c:pt idx="60">
                  <c:v>1.5793900000000001</c:v>
                </c:pt>
                <c:pt idx="61">
                  <c:v>1.5793900000000001</c:v>
                </c:pt>
                <c:pt idx="62">
                  <c:v>1.5793900000000001</c:v>
                </c:pt>
                <c:pt idx="63">
                  <c:v>1.5793900000000001</c:v>
                </c:pt>
                <c:pt idx="64">
                  <c:v>1.5793900000000001</c:v>
                </c:pt>
                <c:pt idx="65">
                  <c:v>1.5793900000000001</c:v>
                </c:pt>
                <c:pt idx="66">
                  <c:v>1.5793900000000001</c:v>
                </c:pt>
                <c:pt idx="67">
                  <c:v>1.97939</c:v>
                </c:pt>
                <c:pt idx="68">
                  <c:v>1.5793900000000001</c:v>
                </c:pt>
                <c:pt idx="69">
                  <c:v>1.5793900000000001</c:v>
                </c:pt>
                <c:pt idx="70">
                  <c:v>1.5793900000000001</c:v>
                </c:pt>
                <c:pt idx="71">
                  <c:v>1.5793900000000001</c:v>
                </c:pt>
                <c:pt idx="72">
                  <c:v>1.3886000000000001</c:v>
                </c:pt>
                <c:pt idx="73">
                  <c:v>1.3886000000000001</c:v>
                </c:pt>
                <c:pt idx="74">
                  <c:v>1.5886</c:v>
                </c:pt>
                <c:pt idx="75">
                  <c:v>1.3886000000000001</c:v>
                </c:pt>
                <c:pt idx="76">
                  <c:v>1.3886000000000001</c:v>
                </c:pt>
                <c:pt idx="77">
                  <c:v>1.3886000000000001</c:v>
                </c:pt>
                <c:pt idx="78">
                  <c:v>1.3886000000000001</c:v>
                </c:pt>
                <c:pt idx="79">
                  <c:v>1.3886000000000001</c:v>
                </c:pt>
                <c:pt idx="80">
                  <c:v>1.3886000000000001</c:v>
                </c:pt>
                <c:pt idx="81">
                  <c:v>1.3886000000000001</c:v>
                </c:pt>
                <c:pt idx="82">
                  <c:v>1.3886000000000001</c:v>
                </c:pt>
                <c:pt idx="83">
                  <c:v>1.3886000000000001</c:v>
                </c:pt>
                <c:pt idx="84">
                  <c:v>1.3886000000000001</c:v>
                </c:pt>
                <c:pt idx="85">
                  <c:v>1.3886000000000001</c:v>
                </c:pt>
                <c:pt idx="86">
                  <c:v>1.3886000000000001</c:v>
                </c:pt>
                <c:pt idx="87">
                  <c:v>1.3886000000000001</c:v>
                </c:pt>
                <c:pt idx="88">
                  <c:v>1.3886000000000001</c:v>
                </c:pt>
                <c:pt idx="89">
                  <c:v>1.3886000000000001</c:v>
                </c:pt>
                <c:pt idx="90">
                  <c:v>1.3886000000000001</c:v>
                </c:pt>
                <c:pt idx="91">
                  <c:v>1.5886</c:v>
                </c:pt>
                <c:pt idx="92">
                  <c:v>1.3886000000000001</c:v>
                </c:pt>
                <c:pt idx="93">
                  <c:v>1.3886000000000001</c:v>
                </c:pt>
                <c:pt idx="94">
                  <c:v>1.3886000000000001</c:v>
                </c:pt>
                <c:pt idx="95">
                  <c:v>1.3886000000000001</c:v>
                </c:pt>
                <c:pt idx="96">
                  <c:v>1.3886000000000001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E8-4D0B-9C1C-CCAE3246CED1}"/>
            </c:ext>
          </c:extLst>
        </c:ser>
        <c:ser>
          <c:idx val="2"/>
          <c:order val="2"/>
          <c:tx>
            <c:strRef>
              <c:f>'USD SOFR'!$Q$3</c:f>
              <c:strCache>
                <c:ptCount val="1"/>
                <c:pt idx="0">
                  <c:v>Futures - Linear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xVal>
            <c:numRef>
              <c:f>'USD SOFR'!$N$5:$N$126</c:f>
              <c:numCache>
                <c:formatCode>#,##0.00</c:formatCode>
                <c:ptCount val="122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  <c:pt idx="119">
                  <c:v>30</c:v>
                </c:pt>
                <c:pt idx="120">
                  <c:v>40</c:v>
                </c:pt>
                <c:pt idx="121">
                  <c:v>50</c:v>
                </c:pt>
              </c:numCache>
            </c:numRef>
          </c:xVal>
          <c:yVal>
            <c:numRef>
              <c:f>'USD SOFR'!$Q$5:$Q$126</c:f>
              <c:numCache>
                <c:formatCode>General</c:formatCode>
                <c:ptCount val="122"/>
                <c:pt idx="96" formatCode="#,##0.00000">
                  <c:v>1.3886000000000001</c:v>
                </c:pt>
                <c:pt idx="97" formatCode="#,##0.00000">
                  <c:v>1.3025199999999999</c:v>
                </c:pt>
                <c:pt idx="98" formatCode="#,##0.00000">
                  <c:v>1.2832460000000001</c:v>
                </c:pt>
                <c:pt idx="99" formatCode="#,##0.00000">
                  <c:v>1.2639719999999999</c:v>
                </c:pt>
                <c:pt idx="100" formatCode="#,##0.00000">
                  <c:v>1.2446980000000001</c:v>
                </c:pt>
                <c:pt idx="101" formatCode="#,##0.00000">
                  <c:v>1.2254240000000001</c:v>
                </c:pt>
                <c:pt idx="102" formatCode="#,##0.00000">
                  <c:v>1.2061500000000001</c:v>
                </c:pt>
                <c:pt idx="103" formatCode="#,##0.00000">
                  <c:v>1.1968200000000002</c:v>
                </c:pt>
                <c:pt idx="104" formatCode="#,##0.00000">
                  <c:v>1.1874899999999999</c:v>
                </c:pt>
                <c:pt idx="105" formatCode="#,##0.00000">
                  <c:v>1.1781600000000001</c:v>
                </c:pt>
                <c:pt idx="106" formatCode="#,##0.00000">
                  <c:v>1.1688299999999998</c:v>
                </c:pt>
                <c:pt idx="107" formatCode="#,##0.00000">
                  <c:v>1.1595</c:v>
                </c:pt>
                <c:pt idx="108" formatCode="#,##0.00000">
                  <c:v>1.1642459999999994</c:v>
                </c:pt>
                <c:pt idx="109" formatCode="#,##0.00000">
                  <c:v>1.1689919999999991</c:v>
                </c:pt>
                <c:pt idx="110" formatCode="#,##0.00000">
                  <c:v>1.1737379999999986</c:v>
                </c:pt>
                <c:pt idx="111" formatCode="#,##0.00000">
                  <c:v>1.1784839999999983</c:v>
                </c:pt>
                <c:pt idx="112" formatCode="#,##0.00000">
                  <c:v>1.1832299999999978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E8-4D0B-9C1C-CCAE3246CED1}"/>
            </c:ext>
          </c:extLst>
        </c:ser>
        <c:ser>
          <c:idx val="3"/>
          <c:order val="3"/>
          <c:tx>
            <c:strRef>
              <c:f>'USD SOFR'!$R$3</c:f>
              <c:strCache>
                <c:ptCount val="1"/>
                <c:pt idx="0">
                  <c:v>SOFR Swaps &amp; Tenor Basis - Spline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'USD SOFR'!$N$5:$N$126</c:f>
              <c:numCache>
                <c:formatCode>#,##0.00</c:formatCode>
                <c:ptCount val="122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  <c:pt idx="119">
                  <c:v>30</c:v>
                </c:pt>
                <c:pt idx="120">
                  <c:v>40</c:v>
                </c:pt>
                <c:pt idx="121">
                  <c:v>50</c:v>
                </c:pt>
              </c:numCache>
            </c:numRef>
          </c:xVal>
          <c:yVal>
            <c:numRef>
              <c:f>'USD SOFR'!$R$5:$R$126</c:f>
              <c:numCache>
                <c:formatCode>General</c:formatCode>
                <c:ptCount val="122"/>
                <c:pt idx="112" formatCode="#,##0.00000">
                  <c:v>1.1832299999999978</c:v>
                </c:pt>
                <c:pt idx="113">
                  <c:v>1.22559</c:v>
                </c:pt>
                <c:pt idx="114">
                  <c:v>1.20502</c:v>
                </c:pt>
                <c:pt idx="115">
                  <c:v>1.23028</c:v>
                </c:pt>
                <c:pt idx="116">
                  <c:v>1.29071</c:v>
                </c:pt>
                <c:pt idx="117">
                  <c:v>1.36849</c:v>
                </c:pt>
                <c:pt idx="118">
                  <c:v>1.4110199999999999</c:v>
                </c:pt>
                <c:pt idx="119">
                  <c:v>1.4213499999999999</c:v>
                </c:pt>
                <c:pt idx="120">
                  <c:v>1.40063</c:v>
                </c:pt>
                <c:pt idx="121">
                  <c:v>1.36656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25E8-4D0B-9C1C-CCAE3246C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504576"/>
        <c:axId val="214506496"/>
      </c:scatterChart>
      <c:valAx>
        <c:axId val="214504576"/>
        <c:scaling>
          <c:orientation val="minMax"/>
          <c:max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Tenor (Years)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06496"/>
        <c:crosses val="autoZero"/>
        <c:crossBetween val="midCat"/>
      </c:valAx>
      <c:valAx>
        <c:axId val="214506496"/>
        <c:scaling>
          <c:orientation val="minMax"/>
          <c:max val="2.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504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005601470052991"/>
          <c:y val="0.15287335210092062"/>
          <c:w val="0.29915957235897939"/>
          <c:h val="0.33990368768510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SOFR Curve - Basic</a:t>
            </a:r>
            <a:r>
              <a:rPr lang="en-GB" sz="1200" baseline="0"/>
              <a:t> Vs Advanced</a:t>
            </a:r>
            <a:endParaRPr lang="en-GB" sz="12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860779944784246E-2"/>
          <c:y val="7.5407081593415512E-2"/>
          <c:w val="0.90118888464759273"/>
          <c:h val="0.80991439735792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'USD SOFR BASIC vs ADVANCED'!$U$3</c:f>
              <c:strCache>
                <c:ptCount val="1"/>
                <c:pt idx="0">
                  <c:v>Cash Deposit - Linear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ADVANCED'!$T$5:$T$6</c:f>
              <c:numCache>
                <c:formatCode>#,##0.00</c:formatCode>
                <c:ptCount val="2"/>
                <c:pt idx="0">
                  <c:v>0</c:v>
                </c:pt>
                <c:pt idx="1">
                  <c:v>2.1917808219178082E-2</c:v>
                </c:pt>
              </c:numCache>
            </c:numRef>
          </c:xVal>
          <c:yVal>
            <c:numRef>
              <c:f>'USD SOFR BASIC vs ADVANCED'!$U$5:$U$6</c:f>
              <c:numCache>
                <c:formatCode>#,##0.00000</c:formatCode>
                <c:ptCount val="2"/>
                <c:pt idx="0">
                  <c:v>2.12</c:v>
                </c:pt>
                <c:pt idx="1">
                  <c:v>2.2126600000000001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70-4420-8B92-A102F9E2AA5A}"/>
            </c:ext>
          </c:extLst>
        </c:ser>
        <c:ser>
          <c:idx val="0"/>
          <c:order val="1"/>
          <c:tx>
            <c:strRef>
              <c:f>'USD SOFR BASIC vs ADVANCED'!$V$3</c:f>
              <c:strCache>
                <c:ptCount val="1"/>
                <c:pt idx="0">
                  <c:v>MPC Swaps - Piecewise Constant with Jumps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ADVANCED'!$T$5:$T$123</c:f>
              <c:numCache>
                <c:formatCode>#,##0.00</c:formatCode>
                <c:ptCount val="119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</c:numCache>
            </c:numRef>
          </c:xVal>
          <c:yVal>
            <c:numRef>
              <c:f>'USD SOFR BASIC vs ADVANCED'!$V$5:$V$123</c:f>
              <c:numCache>
                <c:formatCode>#,##0.00000</c:formatCode>
                <c:ptCount val="119"/>
                <c:pt idx="1">
                  <c:v>2.2126600000000001</c:v>
                </c:pt>
                <c:pt idx="2">
                  <c:v>2.2126600000000001</c:v>
                </c:pt>
                <c:pt idx="3">
                  <c:v>2.2126600000000001</c:v>
                </c:pt>
                <c:pt idx="4">
                  <c:v>2.2126600000000001</c:v>
                </c:pt>
                <c:pt idx="5">
                  <c:v>2.4126600000000002</c:v>
                </c:pt>
                <c:pt idx="6">
                  <c:v>2.2126600000000001</c:v>
                </c:pt>
                <c:pt idx="7">
                  <c:v>2.2126600000000001</c:v>
                </c:pt>
                <c:pt idx="8">
                  <c:v>2.2126600000000001</c:v>
                </c:pt>
                <c:pt idx="9">
                  <c:v>2.2126600000000001</c:v>
                </c:pt>
                <c:pt idx="10">
                  <c:v>2.2126600000000001</c:v>
                </c:pt>
                <c:pt idx="11">
                  <c:v>2.2126600000000001</c:v>
                </c:pt>
                <c:pt idx="12">
                  <c:v>2.2126600000000001</c:v>
                </c:pt>
                <c:pt idx="13">
                  <c:v>2.2126600000000001</c:v>
                </c:pt>
                <c:pt idx="14">
                  <c:v>2.2126600000000001</c:v>
                </c:pt>
                <c:pt idx="15">
                  <c:v>2.2126600000000001</c:v>
                </c:pt>
                <c:pt idx="16">
                  <c:v>2.2126600000000001</c:v>
                </c:pt>
                <c:pt idx="17">
                  <c:v>2.2126600000000001</c:v>
                </c:pt>
                <c:pt idx="18">
                  <c:v>2.2126600000000001</c:v>
                </c:pt>
                <c:pt idx="19">
                  <c:v>2.2126600000000001</c:v>
                </c:pt>
                <c:pt idx="20">
                  <c:v>2.2126600000000001</c:v>
                </c:pt>
                <c:pt idx="21">
                  <c:v>2.2126600000000001</c:v>
                </c:pt>
                <c:pt idx="22">
                  <c:v>2.36266</c:v>
                </c:pt>
                <c:pt idx="23">
                  <c:v>2.2126600000000001</c:v>
                </c:pt>
                <c:pt idx="24">
                  <c:v>1.8598699999999999</c:v>
                </c:pt>
                <c:pt idx="25">
                  <c:v>2.0598700000000001</c:v>
                </c:pt>
                <c:pt idx="26">
                  <c:v>1.8598699999999999</c:v>
                </c:pt>
                <c:pt idx="27">
                  <c:v>1.8598699999999999</c:v>
                </c:pt>
                <c:pt idx="28">
                  <c:v>1.8598699999999999</c:v>
                </c:pt>
                <c:pt idx="29">
                  <c:v>1.8598699999999999</c:v>
                </c:pt>
                <c:pt idx="30">
                  <c:v>1.8598699999999999</c:v>
                </c:pt>
                <c:pt idx="31">
                  <c:v>1.8598699999999999</c:v>
                </c:pt>
                <c:pt idx="32">
                  <c:v>1.8598699999999999</c:v>
                </c:pt>
                <c:pt idx="33">
                  <c:v>1.8598699999999999</c:v>
                </c:pt>
                <c:pt idx="34">
                  <c:v>1.8598699999999999</c:v>
                </c:pt>
                <c:pt idx="35">
                  <c:v>2.1098699999999999</c:v>
                </c:pt>
                <c:pt idx="36">
                  <c:v>1.8598699999999999</c:v>
                </c:pt>
                <c:pt idx="37">
                  <c:v>1.8598699999999999</c:v>
                </c:pt>
                <c:pt idx="38">
                  <c:v>1.8598699999999999</c:v>
                </c:pt>
                <c:pt idx="39">
                  <c:v>1.8598699999999999</c:v>
                </c:pt>
                <c:pt idx="40">
                  <c:v>1.8598699999999999</c:v>
                </c:pt>
                <c:pt idx="41">
                  <c:v>1.8598699999999999</c:v>
                </c:pt>
                <c:pt idx="42">
                  <c:v>1.8598699999999999</c:v>
                </c:pt>
                <c:pt idx="43">
                  <c:v>1.95987</c:v>
                </c:pt>
                <c:pt idx="44">
                  <c:v>1.8598699999999999</c:v>
                </c:pt>
                <c:pt idx="45">
                  <c:v>1.5793900000000001</c:v>
                </c:pt>
                <c:pt idx="46">
                  <c:v>1.77939</c:v>
                </c:pt>
                <c:pt idx="47">
                  <c:v>1.5793900000000001</c:v>
                </c:pt>
                <c:pt idx="48">
                  <c:v>1.5793900000000001</c:v>
                </c:pt>
                <c:pt idx="49">
                  <c:v>1.5793900000000001</c:v>
                </c:pt>
                <c:pt idx="50">
                  <c:v>1.5793900000000001</c:v>
                </c:pt>
                <c:pt idx="51">
                  <c:v>1.5793900000000001</c:v>
                </c:pt>
                <c:pt idx="52">
                  <c:v>1.5793900000000001</c:v>
                </c:pt>
                <c:pt idx="53">
                  <c:v>1.5793900000000001</c:v>
                </c:pt>
                <c:pt idx="54">
                  <c:v>1.5793900000000001</c:v>
                </c:pt>
                <c:pt idx="55">
                  <c:v>1.5793900000000001</c:v>
                </c:pt>
                <c:pt idx="56">
                  <c:v>1.5793900000000001</c:v>
                </c:pt>
                <c:pt idx="57">
                  <c:v>1.6793900000000002</c:v>
                </c:pt>
                <c:pt idx="58">
                  <c:v>1.5793900000000001</c:v>
                </c:pt>
                <c:pt idx="59">
                  <c:v>1.5793900000000001</c:v>
                </c:pt>
                <c:pt idx="60">
                  <c:v>1.5793900000000001</c:v>
                </c:pt>
                <c:pt idx="61">
                  <c:v>1.5793900000000001</c:v>
                </c:pt>
                <c:pt idx="62">
                  <c:v>1.5793900000000001</c:v>
                </c:pt>
                <c:pt idx="63">
                  <c:v>1.5793900000000001</c:v>
                </c:pt>
                <c:pt idx="64">
                  <c:v>1.5793900000000001</c:v>
                </c:pt>
                <c:pt idx="65">
                  <c:v>1.5793900000000001</c:v>
                </c:pt>
                <c:pt idx="66">
                  <c:v>1.5793900000000001</c:v>
                </c:pt>
                <c:pt idx="67">
                  <c:v>1.97939</c:v>
                </c:pt>
                <c:pt idx="68">
                  <c:v>1.5793900000000001</c:v>
                </c:pt>
                <c:pt idx="69">
                  <c:v>1.5793900000000001</c:v>
                </c:pt>
                <c:pt idx="70">
                  <c:v>1.5793900000000001</c:v>
                </c:pt>
                <c:pt idx="71">
                  <c:v>1.5793900000000001</c:v>
                </c:pt>
                <c:pt idx="72">
                  <c:v>1.3886000000000001</c:v>
                </c:pt>
                <c:pt idx="73">
                  <c:v>1.3886000000000001</c:v>
                </c:pt>
                <c:pt idx="74">
                  <c:v>1.5886</c:v>
                </c:pt>
                <c:pt idx="75">
                  <c:v>1.3886000000000001</c:v>
                </c:pt>
                <c:pt idx="76">
                  <c:v>1.3886000000000001</c:v>
                </c:pt>
                <c:pt idx="77">
                  <c:v>1.3886000000000001</c:v>
                </c:pt>
                <c:pt idx="78">
                  <c:v>1.3886000000000001</c:v>
                </c:pt>
                <c:pt idx="79">
                  <c:v>1.3886000000000001</c:v>
                </c:pt>
                <c:pt idx="80">
                  <c:v>1.3886000000000001</c:v>
                </c:pt>
                <c:pt idx="81">
                  <c:v>1.3886000000000001</c:v>
                </c:pt>
                <c:pt idx="82">
                  <c:v>1.3886000000000001</c:v>
                </c:pt>
                <c:pt idx="83">
                  <c:v>1.3886000000000001</c:v>
                </c:pt>
                <c:pt idx="84">
                  <c:v>1.3886000000000001</c:v>
                </c:pt>
                <c:pt idx="85">
                  <c:v>1.3886000000000001</c:v>
                </c:pt>
                <c:pt idx="86">
                  <c:v>1.3886000000000001</c:v>
                </c:pt>
                <c:pt idx="87">
                  <c:v>1.3886000000000001</c:v>
                </c:pt>
                <c:pt idx="88">
                  <c:v>1.3886000000000001</c:v>
                </c:pt>
                <c:pt idx="89">
                  <c:v>1.3886000000000001</c:v>
                </c:pt>
                <c:pt idx="90">
                  <c:v>1.3886000000000001</c:v>
                </c:pt>
                <c:pt idx="91">
                  <c:v>1.5886</c:v>
                </c:pt>
                <c:pt idx="92">
                  <c:v>1.3886000000000001</c:v>
                </c:pt>
                <c:pt idx="93">
                  <c:v>1.3886000000000001</c:v>
                </c:pt>
                <c:pt idx="94">
                  <c:v>1.3886000000000001</c:v>
                </c:pt>
                <c:pt idx="95">
                  <c:v>1.3886000000000001</c:v>
                </c:pt>
                <c:pt idx="96">
                  <c:v>1.3886000000000001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70-4420-8B92-A102F9E2AA5A}"/>
            </c:ext>
          </c:extLst>
        </c:ser>
        <c:ser>
          <c:idx val="2"/>
          <c:order val="2"/>
          <c:tx>
            <c:strRef>
              <c:f>'USD SOFR BASIC vs ADVANCED'!$W$3</c:f>
              <c:strCache>
                <c:ptCount val="1"/>
                <c:pt idx="0">
                  <c:v>Futures - Linear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ADVANCED'!$T$5:$T$126</c:f>
              <c:numCache>
                <c:formatCode>#,##0.00</c:formatCode>
                <c:ptCount val="122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  <c:pt idx="119">
                  <c:v>30</c:v>
                </c:pt>
                <c:pt idx="120">
                  <c:v>40</c:v>
                </c:pt>
                <c:pt idx="121">
                  <c:v>50</c:v>
                </c:pt>
              </c:numCache>
            </c:numRef>
          </c:xVal>
          <c:yVal>
            <c:numRef>
              <c:f>'USD SOFR BASIC vs ADVANCED'!$W$5:$W$126</c:f>
              <c:numCache>
                <c:formatCode>General</c:formatCode>
                <c:ptCount val="122"/>
                <c:pt idx="96" formatCode="#,##0.00000">
                  <c:v>1.3886000000000001</c:v>
                </c:pt>
                <c:pt idx="97" formatCode="#,##0.00000">
                  <c:v>1.3025199999999999</c:v>
                </c:pt>
                <c:pt idx="98" formatCode="#,##0.00000">
                  <c:v>1.2832460000000001</c:v>
                </c:pt>
                <c:pt idx="99" formatCode="#,##0.00000">
                  <c:v>1.2639719999999999</c:v>
                </c:pt>
                <c:pt idx="100" formatCode="#,##0.00000">
                  <c:v>1.2446980000000001</c:v>
                </c:pt>
                <c:pt idx="101" formatCode="#,##0.00000">
                  <c:v>1.2254240000000001</c:v>
                </c:pt>
                <c:pt idx="102" formatCode="#,##0.00000">
                  <c:v>1.2061500000000001</c:v>
                </c:pt>
                <c:pt idx="103" formatCode="#,##0.00000">
                  <c:v>1.1968200000000002</c:v>
                </c:pt>
                <c:pt idx="104" formatCode="#,##0.00000">
                  <c:v>1.1874899999999999</c:v>
                </c:pt>
                <c:pt idx="105" formatCode="#,##0.00000">
                  <c:v>1.1781600000000001</c:v>
                </c:pt>
                <c:pt idx="106" formatCode="#,##0.00000">
                  <c:v>1.1688299999999998</c:v>
                </c:pt>
                <c:pt idx="107" formatCode="#,##0.00000">
                  <c:v>1.1595</c:v>
                </c:pt>
                <c:pt idx="108" formatCode="#,##0.00000">
                  <c:v>1.1642459999999994</c:v>
                </c:pt>
                <c:pt idx="109" formatCode="#,##0.00000">
                  <c:v>1.1689919999999991</c:v>
                </c:pt>
                <c:pt idx="110" formatCode="#,##0.00000">
                  <c:v>1.1737379999999986</c:v>
                </c:pt>
                <c:pt idx="111" formatCode="#,##0.00000">
                  <c:v>1.1784839999999983</c:v>
                </c:pt>
                <c:pt idx="112" formatCode="#,##0.00000">
                  <c:v>1.1832299999999978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70-4420-8B92-A102F9E2AA5A}"/>
            </c:ext>
          </c:extLst>
        </c:ser>
        <c:ser>
          <c:idx val="3"/>
          <c:order val="3"/>
          <c:tx>
            <c:strRef>
              <c:f>'USD SOFR BASIC vs ADVANCED'!$X$3</c:f>
              <c:strCache>
                <c:ptCount val="1"/>
                <c:pt idx="0">
                  <c:v>SOFR Swaps &amp; Tenor Basis - Spline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ADVANCED'!$T$5:$T$126</c:f>
              <c:numCache>
                <c:formatCode>#,##0.00</c:formatCode>
                <c:ptCount val="122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  <c:pt idx="119">
                  <c:v>30</c:v>
                </c:pt>
                <c:pt idx="120">
                  <c:v>40</c:v>
                </c:pt>
                <c:pt idx="121">
                  <c:v>50</c:v>
                </c:pt>
              </c:numCache>
            </c:numRef>
          </c:xVal>
          <c:yVal>
            <c:numRef>
              <c:f>'USD SOFR BASIC vs ADVANCED'!$X$5:$X$126</c:f>
              <c:numCache>
                <c:formatCode>General</c:formatCode>
                <c:ptCount val="122"/>
                <c:pt idx="112" formatCode="#,##0.00000">
                  <c:v>1.1832299999999978</c:v>
                </c:pt>
                <c:pt idx="113">
                  <c:v>1.22559</c:v>
                </c:pt>
                <c:pt idx="114">
                  <c:v>1.20502</c:v>
                </c:pt>
                <c:pt idx="115">
                  <c:v>1.23028</c:v>
                </c:pt>
                <c:pt idx="116">
                  <c:v>1.29071</c:v>
                </c:pt>
                <c:pt idx="117">
                  <c:v>1.36849</c:v>
                </c:pt>
                <c:pt idx="118">
                  <c:v>1.4110199999999999</c:v>
                </c:pt>
                <c:pt idx="119">
                  <c:v>1.4213499999999999</c:v>
                </c:pt>
                <c:pt idx="120">
                  <c:v>1.40063</c:v>
                </c:pt>
                <c:pt idx="121">
                  <c:v>1.36656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A870-4420-8B92-A102F9E2AA5A}"/>
            </c:ext>
          </c:extLst>
        </c:ser>
        <c:ser>
          <c:idx val="4"/>
          <c:order val="4"/>
          <c:tx>
            <c:strRef>
              <c:f>'USD SOFR BASIC vs ADVANCED'!$P$4</c:f>
              <c:strCache>
                <c:ptCount val="1"/>
                <c:pt idx="0">
                  <c:v>Basic SOFR Curve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'USD SOFR BASIC vs ADVANCED'!$O$5:$O$20</c:f>
              <c:numCache>
                <c:formatCode>#,##0.00</c:formatCode>
                <c:ptCount val="16"/>
                <c:pt idx="0">
                  <c:v>0</c:v>
                </c:pt>
                <c:pt idx="1">
                  <c:v>2.1917808219178082E-2</c:v>
                </c:pt>
                <c:pt idx="2">
                  <c:v>0.13698630136986301</c:v>
                </c:pt>
                <c:pt idx="3">
                  <c:v>0.25205479452054796</c:v>
                </c:pt>
                <c:pt idx="4">
                  <c:v>0.38630136986301372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</c:numCache>
            </c:numRef>
          </c:xVal>
          <c:yVal>
            <c:numRef>
              <c:f>'USD SOFR BASIC vs ADVANCED'!$P$5:$P$20</c:f>
              <c:numCache>
                <c:formatCode>#,##0.00000</c:formatCode>
                <c:ptCount val="16"/>
                <c:pt idx="0">
                  <c:v>2.12</c:v>
                </c:pt>
                <c:pt idx="1">
                  <c:v>2.2126600000000001</c:v>
                </c:pt>
                <c:pt idx="2">
                  <c:v>1.8598699999999999</c:v>
                </c:pt>
                <c:pt idx="3">
                  <c:v>1.5793900000000001</c:v>
                </c:pt>
                <c:pt idx="4">
                  <c:v>1.3886000000000001</c:v>
                </c:pt>
                <c:pt idx="5">
                  <c:v>1.1595</c:v>
                </c:pt>
                <c:pt idx="6">
                  <c:v>1.192545</c:v>
                </c:pt>
                <c:pt idx="7">
                  <c:v>1.22559</c:v>
                </c:pt>
                <c:pt idx="8">
                  <c:v>1.20502</c:v>
                </c:pt>
                <c:pt idx="9">
                  <c:v>1.23028</c:v>
                </c:pt>
                <c:pt idx="10">
                  <c:v>1.30071</c:v>
                </c:pt>
                <c:pt idx="11">
                  <c:v>1.3934899999999999</c:v>
                </c:pt>
                <c:pt idx="12">
                  <c:v>1.46102</c:v>
                </c:pt>
                <c:pt idx="13">
                  <c:v>1.4963499999999998</c:v>
                </c:pt>
                <c:pt idx="14">
                  <c:v>1.4806300000000001</c:v>
                </c:pt>
                <c:pt idx="15">
                  <c:v>1.4665600000000001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A870-4420-8B92-A102F9E2A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376064"/>
        <c:axId val="238377984"/>
      </c:scatterChart>
      <c:valAx>
        <c:axId val="238376064"/>
        <c:scaling>
          <c:orientation val="minMax"/>
          <c:max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Tenor (Years)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377984"/>
        <c:crosses val="autoZero"/>
        <c:crossBetween val="midCat"/>
      </c:valAx>
      <c:valAx>
        <c:axId val="238377984"/>
        <c:scaling>
          <c:orientation val="minMax"/>
          <c:max val="2.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376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848893465543413"/>
          <c:y val="0.15287335210092062"/>
          <c:w val="0.37131289817634128"/>
          <c:h val="0.35375222142142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SOFR Curve - Basic</a:t>
            </a:r>
            <a:r>
              <a:rPr lang="en-GB" sz="1200" baseline="0"/>
              <a:t> Vs Advanced</a:t>
            </a:r>
            <a:endParaRPr lang="en-GB" sz="12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860779944784246E-2"/>
          <c:y val="7.5407081593415512E-2"/>
          <c:w val="0.90118888464759273"/>
          <c:h val="0.80991439735792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'USD SOFR BASIC vs ADVANCED'!$U$3</c:f>
              <c:strCache>
                <c:ptCount val="1"/>
                <c:pt idx="0">
                  <c:v>Cash Deposit - Linear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ADVANCED'!$T$5:$T$6</c:f>
              <c:numCache>
                <c:formatCode>#,##0.00</c:formatCode>
                <c:ptCount val="2"/>
                <c:pt idx="0">
                  <c:v>0</c:v>
                </c:pt>
                <c:pt idx="1">
                  <c:v>2.1917808219178082E-2</c:v>
                </c:pt>
              </c:numCache>
            </c:numRef>
          </c:xVal>
          <c:yVal>
            <c:numRef>
              <c:f>'USD SOFR BASIC vs ADVANCED'!$U$5:$U$6</c:f>
              <c:numCache>
                <c:formatCode>#,##0.00000</c:formatCode>
                <c:ptCount val="2"/>
                <c:pt idx="0">
                  <c:v>2.12</c:v>
                </c:pt>
                <c:pt idx="1">
                  <c:v>2.2126600000000001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C6-446F-89B7-70898AE24F14}"/>
            </c:ext>
          </c:extLst>
        </c:ser>
        <c:ser>
          <c:idx val="0"/>
          <c:order val="1"/>
          <c:tx>
            <c:strRef>
              <c:f>'USD SOFR BASIC vs ADVANCED'!$V$3</c:f>
              <c:strCache>
                <c:ptCount val="1"/>
                <c:pt idx="0">
                  <c:v>MPC Swaps - Piecewise Constant with Jumps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ADVANCED'!$T$5:$T$123</c:f>
              <c:numCache>
                <c:formatCode>#,##0.00</c:formatCode>
                <c:ptCount val="119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</c:numCache>
            </c:numRef>
          </c:xVal>
          <c:yVal>
            <c:numRef>
              <c:f>'USD SOFR BASIC vs ADVANCED'!$V$5:$V$123</c:f>
              <c:numCache>
                <c:formatCode>#,##0.00000</c:formatCode>
                <c:ptCount val="119"/>
                <c:pt idx="1">
                  <c:v>2.2126600000000001</c:v>
                </c:pt>
                <c:pt idx="2">
                  <c:v>2.2126600000000001</c:v>
                </c:pt>
                <c:pt idx="3">
                  <c:v>2.2126600000000001</c:v>
                </c:pt>
                <c:pt idx="4">
                  <c:v>2.2126600000000001</c:v>
                </c:pt>
                <c:pt idx="5">
                  <c:v>2.4126600000000002</c:v>
                </c:pt>
                <c:pt idx="6">
                  <c:v>2.2126600000000001</c:v>
                </c:pt>
                <c:pt idx="7">
                  <c:v>2.2126600000000001</c:v>
                </c:pt>
                <c:pt idx="8">
                  <c:v>2.2126600000000001</c:v>
                </c:pt>
                <c:pt idx="9">
                  <c:v>2.2126600000000001</c:v>
                </c:pt>
                <c:pt idx="10">
                  <c:v>2.2126600000000001</c:v>
                </c:pt>
                <c:pt idx="11">
                  <c:v>2.2126600000000001</c:v>
                </c:pt>
                <c:pt idx="12">
                  <c:v>2.2126600000000001</c:v>
                </c:pt>
                <c:pt idx="13">
                  <c:v>2.2126600000000001</c:v>
                </c:pt>
                <c:pt idx="14">
                  <c:v>2.2126600000000001</c:v>
                </c:pt>
                <c:pt idx="15">
                  <c:v>2.2126600000000001</c:v>
                </c:pt>
                <c:pt idx="16">
                  <c:v>2.2126600000000001</c:v>
                </c:pt>
                <c:pt idx="17">
                  <c:v>2.2126600000000001</c:v>
                </c:pt>
                <c:pt idx="18">
                  <c:v>2.2126600000000001</c:v>
                </c:pt>
                <c:pt idx="19">
                  <c:v>2.2126600000000001</c:v>
                </c:pt>
                <c:pt idx="20">
                  <c:v>2.2126600000000001</c:v>
                </c:pt>
                <c:pt idx="21">
                  <c:v>2.2126600000000001</c:v>
                </c:pt>
                <c:pt idx="22">
                  <c:v>2.36266</c:v>
                </c:pt>
                <c:pt idx="23">
                  <c:v>2.2126600000000001</c:v>
                </c:pt>
                <c:pt idx="24">
                  <c:v>1.8598699999999999</c:v>
                </c:pt>
                <c:pt idx="25">
                  <c:v>2.0598700000000001</c:v>
                </c:pt>
                <c:pt idx="26">
                  <c:v>1.8598699999999999</c:v>
                </c:pt>
                <c:pt idx="27">
                  <c:v>1.8598699999999999</c:v>
                </c:pt>
                <c:pt idx="28">
                  <c:v>1.8598699999999999</c:v>
                </c:pt>
                <c:pt idx="29">
                  <c:v>1.8598699999999999</c:v>
                </c:pt>
                <c:pt idx="30">
                  <c:v>1.8598699999999999</c:v>
                </c:pt>
                <c:pt idx="31">
                  <c:v>1.8598699999999999</c:v>
                </c:pt>
                <c:pt idx="32">
                  <c:v>1.8598699999999999</c:v>
                </c:pt>
                <c:pt idx="33">
                  <c:v>1.8598699999999999</c:v>
                </c:pt>
                <c:pt idx="34">
                  <c:v>1.8598699999999999</c:v>
                </c:pt>
                <c:pt idx="35">
                  <c:v>2.1098699999999999</c:v>
                </c:pt>
                <c:pt idx="36">
                  <c:v>1.8598699999999999</c:v>
                </c:pt>
                <c:pt idx="37">
                  <c:v>1.8598699999999999</c:v>
                </c:pt>
                <c:pt idx="38">
                  <c:v>1.8598699999999999</c:v>
                </c:pt>
                <c:pt idx="39">
                  <c:v>1.8598699999999999</c:v>
                </c:pt>
                <c:pt idx="40">
                  <c:v>1.8598699999999999</c:v>
                </c:pt>
                <c:pt idx="41">
                  <c:v>1.8598699999999999</c:v>
                </c:pt>
                <c:pt idx="42">
                  <c:v>1.8598699999999999</c:v>
                </c:pt>
                <c:pt idx="43">
                  <c:v>1.95987</c:v>
                </c:pt>
                <c:pt idx="44">
                  <c:v>1.8598699999999999</c:v>
                </c:pt>
                <c:pt idx="45">
                  <c:v>1.5793900000000001</c:v>
                </c:pt>
                <c:pt idx="46">
                  <c:v>1.77939</c:v>
                </c:pt>
                <c:pt idx="47">
                  <c:v>1.5793900000000001</c:v>
                </c:pt>
                <c:pt idx="48">
                  <c:v>1.5793900000000001</c:v>
                </c:pt>
                <c:pt idx="49">
                  <c:v>1.5793900000000001</c:v>
                </c:pt>
                <c:pt idx="50">
                  <c:v>1.5793900000000001</c:v>
                </c:pt>
                <c:pt idx="51">
                  <c:v>1.5793900000000001</c:v>
                </c:pt>
                <c:pt idx="52">
                  <c:v>1.5793900000000001</c:v>
                </c:pt>
                <c:pt idx="53">
                  <c:v>1.5793900000000001</c:v>
                </c:pt>
                <c:pt idx="54">
                  <c:v>1.5793900000000001</c:v>
                </c:pt>
                <c:pt idx="55">
                  <c:v>1.5793900000000001</c:v>
                </c:pt>
                <c:pt idx="56">
                  <c:v>1.5793900000000001</c:v>
                </c:pt>
                <c:pt idx="57">
                  <c:v>1.6793900000000002</c:v>
                </c:pt>
                <c:pt idx="58">
                  <c:v>1.5793900000000001</c:v>
                </c:pt>
                <c:pt idx="59">
                  <c:v>1.5793900000000001</c:v>
                </c:pt>
                <c:pt idx="60">
                  <c:v>1.5793900000000001</c:v>
                </c:pt>
                <c:pt idx="61">
                  <c:v>1.5793900000000001</c:v>
                </c:pt>
                <c:pt idx="62">
                  <c:v>1.5793900000000001</c:v>
                </c:pt>
                <c:pt idx="63">
                  <c:v>1.5793900000000001</c:v>
                </c:pt>
                <c:pt idx="64">
                  <c:v>1.5793900000000001</c:v>
                </c:pt>
                <c:pt idx="65">
                  <c:v>1.5793900000000001</c:v>
                </c:pt>
                <c:pt idx="66">
                  <c:v>1.5793900000000001</c:v>
                </c:pt>
                <c:pt idx="67">
                  <c:v>1.97939</c:v>
                </c:pt>
                <c:pt idx="68">
                  <c:v>1.5793900000000001</c:v>
                </c:pt>
                <c:pt idx="69">
                  <c:v>1.5793900000000001</c:v>
                </c:pt>
                <c:pt idx="70">
                  <c:v>1.5793900000000001</c:v>
                </c:pt>
                <c:pt idx="71">
                  <c:v>1.5793900000000001</c:v>
                </c:pt>
                <c:pt idx="72">
                  <c:v>1.3886000000000001</c:v>
                </c:pt>
                <c:pt idx="73">
                  <c:v>1.3886000000000001</c:v>
                </c:pt>
                <c:pt idx="74">
                  <c:v>1.5886</c:v>
                </c:pt>
                <c:pt idx="75">
                  <c:v>1.3886000000000001</c:v>
                </c:pt>
                <c:pt idx="76">
                  <c:v>1.3886000000000001</c:v>
                </c:pt>
                <c:pt idx="77">
                  <c:v>1.3886000000000001</c:v>
                </c:pt>
                <c:pt idx="78">
                  <c:v>1.3886000000000001</c:v>
                </c:pt>
                <c:pt idx="79">
                  <c:v>1.3886000000000001</c:v>
                </c:pt>
                <c:pt idx="80">
                  <c:v>1.3886000000000001</c:v>
                </c:pt>
                <c:pt idx="81">
                  <c:v>1.3886000000000001</c:v>
                </c:pt>
                <c:pt idx="82">
                  <c:v>1.3886000000000001</c:v>
                </c:pt>
                <c:pt idx="83">
                  <c:v>1.3886000000000001</c:v>
                </c:pt>
                <c:pt idx="84">
                  <c:v>1.3886000000000001</c:v>
                </c:pt>
                <c:pt idx="85">
                  <c:v>1.3886000000000001</c:v>
                </c:pt>
                <c:pt idx="86">
                  <c:v>1.3886000000000001</c:v>
                </c:pt>
                <c:pt idx="87">
                  <c:v>1.3886000000000001</c:v>
                </c:pt>
                <c:pt idx="88">
                  <c:v>1.3886000000000001</c:v>
                </c:pt>
                <c:pt idx="89">
                  <c:v>1.3886000000000001</c:v>
                </c:pt>
                <c:pt idx="90">
                  <c:v>1.3886000000000001</c:v>
                </c:pt>
                <c:pt idx="91">
                  <c:v>1.5886</c:v>
                </c:pt>
                <c:pt idx="92">
                  <c:v>1.3886000000000001</c:v>
                </c:pt>
                <c:pt idx="93">
                  <c:v>1.3886000000000001</c:v>
                </c:pt>
                <c:pt idx="94">
                  <c:v>1.3886000000000001</c:v>
                </c:pt>
                <c:pt idx="95">
                  <c:v>1.3886000000000001</c:v>
                </c:pt>
                <c:pt idx="96">
                  <c:v>1.3886000000000001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C6-446F-89B7-70898AE24F14}"/>
            </c:ext>
          </c:extLst>
        </c:ser>
        <c:ser>
          <c:idx val="2"/>
          <c:order val="2"/>
          <c:tx>
            <c:strRef>
              <c:f>'USD SOFR BASIC vs ADVANCED'!$W$3</c:f>
              <c:strCache>
                <c:ptCount val="1"/>
                <c:pt idx="0">
                  <c:v>Futures - Linear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ADVANCED'!$T$5:$T$126</c:f>
              <c:numCache>
                <c:formatCode>#,##0.00</c:formatCode>
                <c:ptCount val="122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  <c:pt idx="119">
                  <c:v>30</c:v>
                </c:pt>
                <c:pt idx="120">
                  <c:v>40</c:v>
                </c:pt>
                <c:pt idx="121">
                  <c:v>50</c:v>
                </c:pt>
              </c:numCache>
            </c:numRef>
          </c:xVal>
          <c:yVal>
            <c:numRef>
              <c:f>'USD SOFR BASIC vs ADVANCED'!$W$5:$W$126</c:f>
              <c:numCache>
                <c:formatCode>General</c:formatCode>
                <c:ptCount val="122"/>
                <c:pt idx="96" formatCode="#,##0.00000">
                  <c:v>1.3886000000000001</c:v>
                </c:pt>
                <c:pt idx="97" formatCode="#,##0.00000">
                  <c:v>1.3025199999999999</c:v>
                </c:pt>
                <c:pt idx="98" formatCode="#,##0.00000">
                  <c:v>1.2832460000000001</c:v>
                </c:pt>
                <c:pt idx="99" formatCode="#,##0.00000">
                  <c:v>1.2639719999999999</c:v>
                </c:pt>
                <c:pt idx="100" formatCode="#,##0.00000">
                  <c:v>1.2446980000000001</c:v>
                </c:pt>
                <c:pt idx="101" formatCode="#,##0.00000">
                  <c:v>1.2254240000000001</c:v>
                </c:pt>
                <c:pt idx="102" formatCode="#,##0.00000">
                  <c:v>1.2061500000000001</c:v>
                </c:pt>
                <c:pt idx="103" formatCode="#,##0.00000">
                  <c:v>1.1968200000000002</c:v>
                </c:pt>
                <c:pt idx="104" formatCode="#,##0.00000">
                  <c:v>1.1874899999999999</c:v>
                </c:pt>
                <c:pt idx="105" formatCode="#,##0.00000">
                  <c:v>1.1781600000000001</c:v>
                </c:pt>
                <c:pt idx="106" formatCode="#,##0.00000">
                  <c:v>1.1688299999999998</c:v>
                </c:pt>
                <c:pt idx="107" formatCode="#,##0.00000">
                  <c:v>1.1595</c:v>
                </c:pt>
                <c:pt idx="108" formatCode="#,##0.00000">
                  <c:v>1.1642459999999994</c:v>
                </c:pt>
                <c:pt idx="109" formatCode="#,##0.00000">
                  <c:v>1.1689919999999991</c:v>
                </c:pt>
                <c:pt idx="110" formatCode="#,##0.00000">
                  <c:v>1.1737379999999986</c:v>
                </c:pt>
                <c:pt idx="111" formatCode="#,##0.00000">
                  <c:v>1.1784839999999983</c:v>
                </c:pt>
                <c:pt idx="112" formatCode="#,##0.00000">
                  <c:v>1.1832299999999978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DC6-446F-89B7-70898AE24F14}"/>
            </c:ext>
          </c:extLst>
        </c:ser>
        <c:ser>
          <c:idx val="3"/>
          <c:order val="3"/>
          <c:tx>
            <c:strRef>
              <c:f>'USD SOFR BASIC vs ADVANCED'!$X$3</c:f>
              <c:strCache>
                <c:ptCount val="1"/>
                <c:pt idx="0">
                  <c:v>SOFR Swaps &amp; Tenor Basis - Spline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ADVANCED'!$T$5:$T$126</c:f>
              <c:numCache>
                <c:formatCode>#,##0.00</c:formatCode>
                <c:ptCount val="122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  <c:pt idx="119">
                  <c:v>30</c:v>
                </c:pt>
                <c:pt idx="120">
                  <c:v>40</c:v>
                </c:pt>
                <c:pt idx="121">
                  <c:v>50</c:v>
                </c:pt>
              </c:numCache>
            </c:numRef>
          </c:xVal>
          <c:yVal>
            <c:numRef>
              <c:f>'USD SOFR BASIC vs ADVANCED'!$X$5:$X$126</c:f>
              <c:numCache>
                <c:formatCode>General</c:formatCode>
                <c:ptCount val="122"/>
                <c:pt idx="112" formatCode="#,##0.00000">
                  <c:v>1.1832299999999978</c:v>
                </c:pt>
                <c:pt idx="113">
                  <c:v>1.22559</c:v>
                </c:pt>
                <c:pt idx="114">
                  <c:v>1.20502</c:v>
                </c:pt>
                <c:pt idx="115">
                  <c:v>1.23028</c:v>
                </c:pt>
                <c:pt idx="116">
                  <c:v>1.29071</c:v>
                </c:pt>
                <c:pt idx="117">
                  <c:v>1.36849</c:v>
                </c:pt>
                <c:pt idx="118">
                  <c:v>1.4110199999999999</c:v>
                </c:pt>
                <c:pt idx="119">
                  <c:v>1.4213499999999999</c:v>
                </c:pt>
                <c:pt idx="120">
                  <c:v>1.40063</c:v>
                </c:pt>
                <c:pt idx="121">
                  <c:v>1.36656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BDC6-446F-89B7-70898AE24F14}"/>
            </c:ext>
          </c:extLst>
        </c:ser>
        <c:ser>
          <c:idx val="4"/>
          <c:order val="4"/>
          <c:tx>
            <c:strRef>
              <c:f>'USD SOFR BASIC vs ADVANCED'!$P$4</c:f>
              <c:strCache>
                <c:ptCount val="1"/>
                <c:pt idx="0">
                  <c:v>Basic SOFR Curve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'USD SOFR BASIC vs ADVANCED'!$O$5:$O$20</c:f>
              <c:numCache>
                <c:formatCode>#,##0.00</c:formatCode>
                <c:ptCount val="16"/>
                <c:pt idx="0">
                  <c:v>0</c:v>
                </c:pt>
                <c:pt idx="1">
                  <c:v>2.1917808219178082E-2</c:v>
                </c:pt>
                <c:pt idx="2">
                  <c:v>0.13698630136986301</c:v>
                </c:pt>
                <c:pt idx="3">
                  <c:v>0.25205479452054796</c:v>
                </c:pt>
                <c:pt idx="4">
                  <c:v>0.38630136986301372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15</c:v>
                </c:pt>
                <c:pt idx="12">
                  <c:v>20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</c:numCache>
            </c:numRef>
          </c:xVal>
          <c:yVal>
            <c:numRef>
              <c:f>'USD SOFR BASIC vs ADVANCED'!$P$5:$P$20</c:f>
              <c:numCache>
                <c:formatCode>#,##0.00000</c:formatCode>
                <c:ptCount val="16"/>
                <c:pt idx="0">
                  <c:v>2.12</c:v>
                </c:pt>
                <c:pt idx="1">
                  <c:v>2.2126600000000001</c:v>
                </c:pt>
                <c:pt idx="2">
                  <c:v>1.8598699999999999</c:v>
                </c:pt>
                <c:pt idx="3">
                  <c:v>1.5793900000000001</c:v>
                </c:pt>
                <c:pt idx="4">
                  <c:v>1.3886000000000001</c:v>
                </c:pt>
                <c:pt idx="5">
                  <c:v>1.1595</c:v>
                </c:pt>
                <c:pt idx="6">
                  <c:v>1.192545</c:v>
                </c:pt>
                <c:pt idx="7">
                  <c:v>1.22559</c:v>
                </c:pt>
                <c:pt idx="8">
                  <c:v>1.20502</c:v>
                </c:pt>
                <c:pt idx="9">
                  <c:v>1.23028</c:v>
                </c:pt>
                <c:pt idx="10">
                  <c:v>1.30071</c:v>
                </c:pt>
                <c:pt idx="11">
                  <c:v>1.3934899999999999</c:v>
                </c:pt>
                <c:pt idx="12">
                  <c:v>1.46102</c:v>
                </c:pt>
                <c:pt idx="13">
                  <c:v>1.4963499999999998</c:v>
                </c:pt>
                <c:pt idx="14">
                  <c:v>1.4806300000000001</c:v>
                </c:pt>
                <c:pt idx="15">
                  <c:v>1.4665600000000001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BDC6-446F-89B7-70898AE2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518656"/>
        <c:axId val="238520576"/>
      </c:scatterChart>
      <c:valAx>
        <c:axId val="238518656"/>
        <c:scaling>
          <c:orientation val="minMax"/>
          <c:max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Tenor (Years)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520576"/>
        <c:crosses val="autoZero"/>
        <c:crossBetween val="midCat"/>
      </c:valAx>
      <c:valAx>
        <c:axId val="238520576"/>
        <c:scaling>
          <c:orientation val="minMax"/>
          <c:max val="2.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518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848893465543413"/>
          <c:y val="0.15287335210092062"/>
          <c:w val="0.37131289817634128"/>
          <c:h val="0.35375222142142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Curve Shape &amp; Interpolation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860779944784246E-2"/>
          <c:y val="7.5407081593415512E-2"/>
          <c:w val="0.90118888464759273"/>
          <c:h val="0.80991439735792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'USD SOFR BASIC vs ADVANCED'!$U$3</c:f>
              <c:strCache>
                <c:ptCount val="1"/>
                <c:pt idx="0">
                  <c:v>Cash Deposit - Linear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ADVANCED'!$T$5:$T$6</c:f>
              <c:numCache>
                <c:formatCode>#,##0.00</c:formatCode>
                <c:ptCount val="2"/>
                <c:pt idx="0">
                  <c:v>0</c:v>
                </c:pt>
                <c:pt idx="1">
                  <c:v>2.1917808219178082E-2</c:v>
                </c:pt>
              </c:numCache>
            </c:numRef>
          </c:xVal>
          <c:yVal>
            <c:numRef>
              <c:f>'USD SOFR BASIC vs ADVANCED'!$U$5:$U$6</c:f>
              <c:numCache>
                <c:formatCode>#,##0.00000</c:formatCode>
                <c:ptCount val="2"/>
                <c:pt idx="0">
                  <c:v>2.12</c:v>
                </c:pt>
                <c:pt idx="1">
                  <c:v>2.2126600000000001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70-4420-8B92-A102F9E2AA5A}"/>
            </c:ext>
          </c:extLst>
        </c:ser>
        <c:ser>
          <c:idx val="0"/>
          <c:order val="1"/>
          <c:tx>
            <c:strRef>
              <c:f>'USD SOFR BASIC vs ADVANCED'!$V$3</c:f>
              <c:strCache>
                <c:ptCount val="1"/>
                <c:pt idx="0">
                  <c:v>MPC Swaps - Piecewise Constant with Jumps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ADVANCED'!$T$5:$T$123</c:f>
              <c:numCache>
                <c:formatCode>#,##0.00</c:formatCode>
                <c:ptCount val="119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</c:numCache>
            </c:numRef>
          </c:xVal>
          <c:yVal>
            <c:numRef>
              <c:f>'USD SOFR BASIC vs ADVANCED'!$V$5:$V$123</c:f>
              <c:numCache>
                <c:formatCode>#,##0.00000</c:formatCode>
                <c:ptCount val="119"/>
                <c:pt idx="1">
                  <c:v>2.2126600000000001</c:v>
                </c:pt>
                <c:pt idx="2">
                  <c:v>2.2126600000000001</c:v>
                </c:pt>
                <c:pt idx="3">
                  <c:v>2.2126600000000001</c:v>
                </c:pt>
                <c:pt idx="4">
                  <c:v>2.2126600000000001</c:v>
                </c:pt>
                <c:pt idx="5">
                  <c:v>2.4126600000000002</c:v>
                </c:pt>
                <c:pt idx="6">
                  <c:v>2.2126600000000001</c:v>
                </c:pt>
                <c:pt idx="7">
                  <c:v>2.2126600000000001</c:v>
                </c:pt>
                <c:pt idx="8">
                  <c:v>2.2126600000000001</c:v>
                </c:pt>
                <c:pt idx="9">
                  <c:v>2.2126600000000001</c:v>
                </c:pt>
                <c:pt idx="10">
                  <c:v>2.2126600000000001</c:v>
                </c:pt>
                <c:pt idx="11">
                  <c:v>2.2126600000000001</c:v>
                </c:pt>
                <c:pt idx="12">
                  <c:v>2.2126600000000001</c:v>
                </c:pt>
                <c:pt idx="13">
                  <c:v>2.2126600000000001</c:v>
                </c:pt>
                <c:pt idx="14">
                  <c:v>2.2126600000000001</c:v>
                </c:pt>
                <c:pt idx="15">
                  <c:v>2.2126600000000001</c:v>
                </c:pt>
                <c:pt idx="16">
                  <c:v>2.2126600000000001</c:v>
                </c:pt>
                <c:pt idx="17">
                  <c:v>2.2126600000000001</c:v>
                </c:pt>
                <c:pt idx="18">
                  <c:v>2.2126600000000001</c:v>
                </c:pt>
                <c:pt idx="19">
                  <c:v>2.2126600000000001</c:v>
                </c:pt>
                <c:pt idx="20">
                  <c:v>2.2126600000000001</c:v>
                </c:pt>
                <c:pt idx="21">
                  <c:v>2.2126600000000001</c:v>
                </c:pt>
                <c:pt idx="22">
                  <c:v>2.36266</c:v>
                </c:pt>
                <c:pt idx="23">
                  <c:v>2.2126600000000001</c:v>
                </c:pt>
                <c:pt idx="24">
                  <c:v>1.8598699999999999</c:v>
                </c:pt>
                <c:pt idx="25">
                  <c:v>2.0598700000000001</c:v>
                </c:pt>
                <c:pt idx="26">
                  <c:v>1.8598699999999999</c:v>
                </c:pt>
                <c:pt idx="27">
                  <c:v>1.8598699999999999</c:v>
                </c:pt>
                <c:pt idx="28">
                  <c:v>1.8598699999999999</c:v>
                </c:pt>
                <c:pt idx="29">
                  <c:v>1.8598699999999999</c:v>
                </c:pt>
                <c:pt idx="30">
                  <c:v>1.8598699999999999</c:v>
                </c:pt>
                <c:pt idx="31">
                  <c:v>1.8598699999999999</c:v>
                </c:pt>
                <c:pt idx="32">
                  <c:v>1.8598699999999999</c:v>
                </c:pt>
                <c:pt idx="33">
                  <c:v>1.8598699999999999</c:v>
                </c:pt>
                <c:pt idx="34">
                  <c:v>1.8598699999999999</c:v>
                </c:pt>
                <c:pt idx="35">
                  <c:v>2.1098699999999999</c:v>
                </c:pt>
                <c:pt idx="36">
                  <c:v>1.8598699999999999</c:v>
                </c:pt>
                <c:pt idx="37">
                  <c:v>1.8598699999999999</c:v>
                </c:pt>
                <c:pt idx="38">
                  <c:v>1.8598699999999999</c:v>
                </c:pt>
                <c:pt idx="39">
                  <c:v>1.8598699999999999</c:v>
                </c:pt>
                <c:pt idx="40">
                  <c:v>1.8598699999999999</c:v>
                </c:pt>
                <c:pt idx="41">
                  <c:v>1.8598699999999999</c:v>
                </c:pt>
                <c:pt idx="42">
                  <c:v>1.8598699999999999</c:v>
                </c:pt>
                <c:pt idx="43">
                  <c:v>1.95987</c:v>
                </c:pt>
                <c:pt idx="44">
                  <c:v>1.8598699999999999</c:v>
                </c:pt>
                <c:pt idx="45">
                  <c:v>1.5793900000000001</c:v>
                </c:pt>
                <c:pt idx="46">
                  <c:v>1.77939</c:v>
                </c:pt>
                <c:pt idx="47">
                  <c:v>1.5793900000000001</c:v>
                </c:pt>
                <c:pt idx="48">
                  <c:v>1.5793900000000001</c:v>
                </c:pt>
                <c:pt idx="49">
                  <c:v>1.5793900000000001</c:v>
                </c:pt>
                <c:pt idx="50">
                  <c:v>1.5793900000000001</c:v>
                </c:pt>
                <c:pt idx="51">
                  <c:v>1.5793900000000001</c:v>
                </c:pt>
                <c:pt idx="52">
                  <c:v>1.5793900000000001</c:v>
                </c:pt>
                <c:pt idx="53">
                  <c:v>1.5793900000000001</c:v>
                </c:pt>
                <c:pt idx="54">
                  <c:v>1.5793900000000001</c:v>
                </c:pt>
                <c:pt idx="55">
                  <c:v>1.5793900000000001</c:v>
                </c:pt>
                <c:pt idx="56">
                  <c:v>1.5793900000000001</c:v>
                </c:pt>
                <c:pt idx="57">
                  <c:v>1.6793900000000002</c:v>
                </c:pt>
                <c:pt idx="58">
                  <c:v>1.5793900000000001</c:v>
                </c:pt>
                <c:pt idx="59">
                  <c:v>1.5793900000000001</c:v>
                </c:pt>
                <c:pt idx="60">
                  <c:v>1.5793900000000001</c:v>
                </c:pt>
                <c:pt idx="61">
                  <c:v>1.5793900000000001</c:v>
                </c:pt>
                <c:pt idx="62">
                  <c:v>1.5793900000000001</c:v>
                </c:pt>
                <c:pt idx="63">
                  <c:v>1.5793900000000001</c:v>
                </c:pt>
                <c:pt idx="64">
                  <c:v>1.5793900000000001</c:v>
                </c:pt>
                <c:pt idx="65">
                  <c:v>1.5793900000000001</c:v>
                </c:pt>
                <c:pt idx="66">
                  <c:v>1.5793900000000001</c:v>
                </c:pt>
                <c:pt idx="67">
                  <c:v>1.97939</c:v>
                </c:pt>
                <c:pt idx="68">
                  <c:v>1.5793900000000001</c:v>
                </c:pt>
                <c:pt idx="69">
                  <c:v>1.5793900000000001</c:v>
                </c:pt>
                <c:pt idx="70">
                  <c:v>1.5793900000000001</c:v>
                </c:pt>
                <c:pt idx="71">
                  <c:v>1.5793900000000001</c:v>
                </c:pt>
                <c:pt idx="72">
                  <c:v>1.3886000000000001</c:v>
                </c:pt>
                <c:pt idx="73">
                  <c:v>1.3886000000000001</c:v>
                </c:pt>
                <c:pt idx="74">
                  <c:v>1.5886</c:v>
                </c:pt>
                <c:pt idx="75">
                  <c:v>1.3886000000000001</c:v>
                </c:pt>
                <c:pt idx="76">
                  <c:v>1.3886000000000001</c:v>
                </c:pt>
                <c:pt idx="77">
                  <c:v>1.3886000000000001</c:v>
                </c:pt>
                <c:pt idx="78">
                  <c:v>1.3886000000000001</c:v>
                </c:pt>
                <c:pt idx="79">
                  <c:v>1.3886000000000001</c:v>
                </c:pt>
                <c:pt idx="80">
                  <c:v>1.3886000000000001</c:v>
                </c:pt>
                <c:pt idx="81">
                  <c:v>1.3886000000000001</c:v>
                </c:pt>
                <c:pt idx="82">
                  <c:v>1.3886000000000001</c:v>
                </c:pt>
                <c:pt idx="83">
                  <c:v>1.3886000000000001</c:v>
                </c:pt>
                <c:pt idx="84">
                  <c:v>1.3886000000000001</c:v>
                </c:pt>
                <c:pt idx="85">
                  <c:v>1.3886000000000001</c:v>
                </c:pt>
                <c:pt idx="86">
                  <c:v>1.3886000000000001</c:v>
                </c:pt>
                <c:pt idx="87">
                  <c:v>1.3886000000000001</c:v>
                </c:pt>
                <c:pt idx="88">
                  <c:v>1.3886000000000001</c:v>
                </c:pt>
                <c:pt idx="89">
                  <c:v>1.3886000000000001</c:v>
                </c:pt>
                <c:pt idx="90">
                  <c:v>1.3886000000000001</c:v>
                </c:pt>
                <c:pt idx="91">
                  <c:v>1.5886</c:v>
                </c:pt>
                <c:pt idx="92">
                  <c:v>1.3886000000000001</c:v>
                </c:pt>
                <c:pt idx="93">
                  <c:v>1.3886000000000001</c:v>
                </c:pt>
                <c:pt idx="94">
                  <c:v>1.3886000000000001</c:v>
                </c:pt>
                <c:pt idx="95">
                  <c:v>1.3886000000000001</c:v>
                </c:pt>
                <c:pt idx="96">
                  <c:v>1.3886000000000001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70-4420-8B92-A102F9E2AA5A}"/>
            </c:ext>
          </c:extLst>
        </c:ser>
        <c:ser>
          <c:idx val="2"/>
          <c:order val="2"/>
          <c:tx>
            <c:strRef>
              <c:f>'USD SOFR BASIC vs ADVANCED'!$W$3</c:f>
              <c:strCache>
                <c:ptCount val="1"/>
                <c:pt idx="0">
                  <c:v>Futures - Linear</c:v>
                </c:pt>
              </c:strCache>
            </c:strRef>
          </c:tx>
          <c:spPr>
            <a:ln w="19050" cap="rnd">
              <a:solidFill>
                <a:srgbClr val="FF3399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ADVANCED'!$T$5:$T$126</c:f>
              <c:numCache>
                <c:formatCode>#,##0.00</c:formatCode>
                <c:ptCount val="122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  <c:pt idx="119">
                  <c:v>30</c:v>
                </c:pt>
                <c:pt idx="120">
                  <c:v>40</c:v>
                </c:pt>
                <c:pt idx="121">
                  <c:v>50</c:v>
                </c:pt>
              </c:numCache>
            </c:numRef>
          </c:xVal>
          <c:yVal>
            <c:numRef>
              <c:f>'USD SOFR BASIC vs ADVANCED'!$W$5:$W$126</c:f>
              <c:numCache>
                <c:formatCode>General</c:formatCode>
                <c:ptCount val="122"/>
                <c:pt idx="96" formatCode="#,##0.00000">
                  <c:v>1.3886000000000001</c:v>
                </c:pt>
                <c:pt idx="97" formatCode="#,##0.00000">
                  <c:v>1.3025199999999999</c:v>
                </c:pt>
                <c:pt idx="98" formatCode="#,##0.00000">
                  <c:v>1.2832460000000001</c:v>
                </c:pt>
                <c:pt idx="99" formatCode="#,##0.00000">
                  <c:v>1.2639719999999999</c:v>
                </c:pt>
                <c:pt idx="100" formatCode="#,##0.00000">
                  <c:v>1.2446980000000001</c:v>
                </c:pt>
                <c:pt idx="101" formatCode="#,##0.00000">
                  <c:v>1.2254240000000001</c:v>
                </c:pt>
                <c:pt idx="102" formatCode="#,##0.00000">
                  <c:v>1.2061500000000001</c:v>
                </c:pt>
                <c:pt idx="103" formatCode="#,##0.00000">
                  <c:v>1.1968200000000002</c:v>
                </c:pt>
                <c:pt idx="104" formatCode="#,##0.00000">
                  <c:v>1.1874899999999999</c:v>
                </c:pt>
                <c:pt idx="105" formatCode="#,##0.00000">
                  <c:v>1.1781600000000001</c:v>
                </c:pt>
                <c:pt idx="106" formatCode="#,##0.00000">
                  <c:v>1.1688299999999998</c:v>
                </c:pt>
                <c:pt idx="107" formatCode="#,##0.00000">
                  <c:v>1.1595</c:v>
                </c:pt>
                <c:pt idx="108" formatCode="#,##0.00000">
                  <c:v>1.1642459999999994</c:v>
                </c:pt>
                <c:pt idx="109" formatCode="#,##0.00000">
                  <c:v>1.1689919999999991</c:v>
                </c:pt>
                <c:pt idx="110" formatCode="#,##0.00000">
                  <c:v>1.1737379999999986</c:v>
                </c:pt>
                <c:pt idx="111" formatCode="#,##0.00000">
                  <c:v>1.1784839999999983</c:v>
                </c:pt>
                <c:pt idx="112" formatCode="#,##0.00000">
                  <c:v>1.1832299999999978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70-4420-8B92-A102F9E2AA5A}"/>
            </c:ext>
          </c:extLst>
        </c:ser>
        <c:ser>
          <c:idx val="3"/>
          <c:order val="3"/>
          <c:tx>
            <c:strRef>
              <c:f>'USD SOFR BASIC vs ADVANCED'!$X$3</c:f>
              <c:strCache>
                <c:ptCount val="1"/>
                <c:pt idx="0">
                  <c:v>SOFR Swaps &amp; Tenor Basis - Spline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'USD SOFR BASIC vs ADVANCED'!$T$5:$T$126</c:f>
              <c:numCache>
                <c:formatCode>#,##0.00</c:formatCode>
                <c:ptCount val="122"/>
                <c:pt idx="0">
                  <c:v>0</c:v>
                </c:pt>
                <c:pt idx="1">
                  <c:v>2.1917808219178082E-2</c:v>
                </c:pt>
                <c:pt idx="2">
                  <c:v>2.6917808219178083E-2</c:v>
                </c:pt>
                <c:pt idx="3">
                  <c:v>3.1917808219178084E-2</c:v>
                </c:pt>
                <c:pt idx="4">
                  <c:v>3.6917808219178082E-2</c:v>
                </c:pt>
                <c:pt idx="5">
                  <c:v>4.1917808219178079E-2</c:v>
                </c:pt>
                <c:pt idx="6">
                  <c:v>4.6917808219178077E-2</c:v>
                </c:pt>
                <c:pt idx="7">
                  <c:v>5.1917808219178074E-2</c:v>
                </c:pt>
                <c:pt idx="8">
                  <c:v>5.6917808219178072E-2</c:v>
                </c:pt>
                <c:pt idx="9">
                  <c:v>6.1917808219178069E-2</c:v>
                </c:pt>
                <c:pt idx="10">
                  <c:v>6.6917808219178074E-2</c:v>
                </c:pt>
                <c:pt idx="11">
                  <c:v>7.1917808219178078E-2</c:v>
                </c:pt>
                <c:pt idx="12">
                  <c:v>7.6917808219178083E-2</c:v>
                </c:pt>
                <c:pt idx="13">
                  <c:v>8.1917808219178087E-2</c:v>
                </c:pt>
                <c:pt idx="14">
                  <c:v>8.6917808219178092E-2</c:v>
                </c:pt>
                <c:pt idx="15">
                  <c:v>9.1917808219178096E-2</c:v>
                </c:pt>
                <c:pt idx="16">
                  <c:v>9.69178082191781E-2</c:v>
                </c:pt>
                <c:pt idx="17">
                  <c:v>0.1019178082191781</c:v>
                </c:pt>
                <c:pt idx="18">
                  <c:v>0.10691780821917811</c:v>
                </c:pt>
                <c:pt idx="19">
                  <c:v>0.11191780821917811</c:v>
                </c:pt>
                <c:pt idx="20">
                  <c:v>0.11691780821917812</c:v>
                </c:pt>
                <c:pt idx="21">
                  <c:v>0.12191780821917812</c:v>
                </c:pt>
                <c:pt idx="22">
                  <c:v>0.12691780821917811</c:v>
                </c:pt>
                <c:pt idx="23">
                  <c:v>0.13191780821917812</c:v>
                </c:pt>
                <c:pt idx="24">
                  <c:v>0.13698630136986301</c:v>
                </c:pt>
                <c:pt idx="25">
                  <c:v>0.14198630136986301</c:v>
                </c:pt>
                <c:pt idx="26">
                  <c:v>0.14698630136986301</c:v>
                </c:pt>
                <c:pt idx="27">
                  <c:v>0.15198630136986302</c:v>
                </c:pt>
                <c:pt idx="28">
                  <c:v>0.15698630136986302</c:v>
                </c:pt>
                <c:pt idx="29">
                  <c:v>0.16198630136986303</c:v>
                </c:pt>
                <c:pt idx="30">
                  <c:v>0.16698630136986303</c:v>
                </c:pt>
                <c:pt idx="31">
                  <c:v>0.17198630136986304</c:v>
                </c:pt>
                <c:pt idx="32">
                  <c:v>0.17698630136986304</c:v>
                </c:pt>
                <c:pt idx="33">
                  <c:v>0.18198630136986305</c:v>
                </c:pt>
                <c:pt idx="34">
                  <c:v>0.18698630136986305</c:v>
                </c:pt>
                <c:pt idx="35">
                  <c:v>0.19198630136986305</c:v>
                </c:pt>
                <c:pt idx="36">
                  <c:v>0.19698630136986306</c:v>
                </c:pt>
                <c:pt idx="37">
                  <c:v>0.20198630136986306</c:v>
                </c:pt>
                <c:pt idx="38">
                  <c:v>0.20698630136986307</c:v>
                </c:pt>
                <c:pt idx="39">
                  <c:v>0.21198630136986307</c:v>
                </c:pt>
                <c:pt idx="40">
                  <c:v>0.21698630136986308</c:v>
                </c:pt>
                <c:pt idx="41">
                  <c:v>0.22198630136986308</c:v>
                </c:pt>
                <c:pt idx="42">
                  <c:v>0.22698630136986309</c:v>
                </c:pt>
                <c:pt idx="43">
                  <c:v>0.23198630136986309</c:v>
                </c:pt>
                <c:pt idx="44">
                  <c:v>0.23698630136986309</c:v>
                </c:pt>
                <c:pt idx="45">
                  <c:v>0.25205479452054796</c:v>
                </c:pt>
                <c:pt idx="46">
                  <c:v>0.25705479452054797</c:v>
                </c:pt>
                <c:pt idx="47">
                  <c:v>0.26205479452054797</c:v>
                </c:pt>
                <c:pt idx="48">
                  <c:v>0.26705479452054798</c:v>
                </c:pt>
                <c:pt idx="49">
                  <c:v>0.27205479452054798</c:v>
                </c:pt>
                <c:pt idx="50">
                  <c:v>0.27705479452054799</c:v>
                </c:pt>
                <c:pt idx="51">
                  <c:v>0.28205479452054799</c:v>
                </c:pt>
                <c:pt idx="52">
                  <c:v>0.287054794520548</c:v>
                </c:pt>
                <c:pt idx="53">
                  <c:v>0.292054794520548</c:v>
                </c:pt>
                <c:pt idx="54">
                  <c:v>0.297054794520548</c:v>
                </c:pt>
                <c:pt idx="55">
                  <c:v>0.30205479452054801</c:v>
                </c:pt>
                <c:pt idx="56">
                  <c:v>0.30705479452054801</c:v>
                </c:pt>
                <c:pt idx="57">
                  <c:v>0.31205479452054802</c:v>
                </c:pt>
                <c:pt idx="58">
                  <c:v>0.31705479452054802</c:v>
                </c:pt>
                <c:pt idx="59">
                  <c:v>0.32205479452054803</c:v>
                </c:pt>
                <c:pt idx="60">
                  <c:v>0.32705479452054803</c:v>
                </c:pt>
                <c:pt idx="61">
                  <c:v>0.33205479452054804</c:v>
                </c:pt>
                <c:pt idx="62">
                  <c:v>0.33705479452054804</c:v>
                </c:pt>
                <c:pt idx="63">
                  <c:v>0.34205479452054804</c:v>
                </c:pt>
                <c:pt idx="64">
                  <c:v>0.34705479452054805</c:v>
                </c:pt>
                <c:pt idx="65">
                  <c:v>0.35205479452054805</c:v>
                </c:pt>
                <c:pt idx="66">
                  <c:v>0.35705479452054806</c:v>
                </c:pt>
                <c:pt idx="67">
                  <c:v>0.36205479452054806</c:v>
                </c:pt>
                <c:pt idx="68">
                  <c:v>0.36705479452054807</c:v>
                </c:pt>
                <c:pt idx="69">
                  <c:v>0.37205479452054807</c:v>
                </c:pt>
                <c:pt idx="70">
                  <c:v>0.37705479452054808</c:v>
                </c:pt>
                <c:pt idx="71">
                  <c:v>0.38205479452054808</c:v>
                </c:pt>
                <c:pt idx="72">
                  <c:v>0.38630136986301372</c:v>
                </c:pt>
                <c:pt idx="73">
                  <c:v>0.39130136986301373</c:v>
                </c:pt>
                <c:pt idx="74">
                  <c:v>0.39630136986301373</c:v>
                </c:pt>
                <c:pt idx="75">
                  <c:v>0.40130136986301373</c:v>
                </c:pt>
                <c:pt idx="76">
                  <c:v>0.40630136986301374</c:v>
                </c:pt>
                <c:pt idx="77">
                  <c:v>0.41130136986301374</c:v>
                </c:pt>
                <c:pt idx="78">
                  <c:v>0.41630136986301375</c:v>
                </c:pt>
                <c:pt idx="79">
                  <c:v>0.42130136986301375</c:v>
                </c:pt>
                <c:pt idx="80">
                  <c:v>0.42630136986301376</c:v>
                </c:pt>
                <c:pt idx="81">
                  <c:v>0.43130136986301376</c:v>
                </c:pt>
                <c:pt idx="82">
                  <c:v>0.43630136986301377</c:v>
                </c:pt>
                <c:pt idx="83">
                  <c:v>0.44130136986301377</c:v>
                </c:pt>
                <c:pt idx="84">
                  <c:v>0.44630136986301377</c:v>
                </c:pt>
                <c:pt idx="85">
                  <c:v>0.45130136986301378</c:v>
                </c:pt>
                <c:pt idx="86">
                  <c:v>0.45630136986301378</c:v>
                </c:pt>
                <c:pt idx="87">
                  <c:v>0.46130136986301379</c:v>
                </c:pt>
                <c:pt idx="88">
                  <c:v>0.46630136986301379</c:v>
                </c:pt>
                <c:pt idx="89">
                  <c:v>0.4713013698630138</c:v>
                </c:pt>
                <c:pt idx="90">
                  <c:v>0.4763013698630138</c:v>
                </c:pt>
                <c:pt idx="91">
                  <c:v>0.48130136986301381</c:v>
                </c:pt>
                <c:pt idx="92">
                  <c:v>0.48630136986301381</c:v>
                </c:pt>
                <c:pt idx="93">
                  <c:v>0.49130136986301381</c:v>
                </c:pt>
                <c:pt idx="94">
                  <c:v>0.49630136986301382</c:v>
                </c:pt>
                <c:pt idx="95">
                  <c:v>0.50130136986301377</c:v>
                </c:pt>
                <c:pt idx="96">
                  <c:v>0.50630136986301377</c:v>
                </c:pt>
                <c:pt idx="97">
                  <c:v>0.52</c:v>
                </c:pt>
                <c:pt idx="98">
                  <c:v>0.57000000000000006</c:v>
                </c:pt>
                <c:pt idx="99">
                  <c:v>0.62000000000000011</c:v>
                </c:pt>
                <c:pt idx="100">
                  <c:v>0.67000000000000015</c:v>
                </c:pt>
                <c:pt idx="101">
                  <c:v>0.7200000000000002</c:v>
                </c:pt>
                <c:pt idx="102">
                  <c:v>0.76986301369863008</c:v>
                </c:pt>
                <c:pt idx="103">
                  <c:v>0.81986301369863013</c:v>
                </c:pt>
                <c:pt idx="104">
                  <c:v>0.86986301369863017</c:v>
                </c:pt>
                <c:pt idx="105">
                  <c:v>0.91986301369863022</c:v>
                </c:pt>
                <c:pt idx="106">
                  <c:v>0.96986301369863026</c:v>
                </c:pt>
                <c:pt idx="107">
                  <c:v>1.0191780821917809</c:v>
                </c:pt>
                <c:pt idx="108">
                  <c:v>1.0691780821917809</c:v>
                </c:pt>
                <c:pt idx="109">
                  <c:v>1.1191780821917809</c:v>
                </c:pt>
                <c:pt idx="110">
                  <c:v>1.169178082191781</c:v>
                </c:pt>
                <c:pt idx="111">
                  <c:v>1.219178082191781</c:v>
                </c:pt>
                <c:pt idx="112">
                  <c:v>1.2684931506849315</c:v>
                </c:pt>
                <c:pt idx="113">
                  <c:v>3</c:v>
                </c:pt>
                <c:pt idx="114">
                  <c:v>5</c:v>
                </c:pt>
                <c:pt idx="115">
                  <c:v>7</c:v>
                </c:pt>
                <c:pt idx="116">
                  <c:v>10</c:v>
                </c:pt>
                <c:pt idx="117">
                  <c:v>15</c:v>
                </c:pt>
                <c:pt idx="118">
                  <c:v>20</c:v>
                </c:pt>
                <c:pt idx="119">
                  <c:v>30</c:v>
                </c:pt>
                <c:pt idx="120">
                  <c:v>40</c:v>
                </c:pt>
                <c:pt idx="121">
                  <c:v>50</c:v>
                </c:pt>
              </c:numCache>
            </c:numRef>
          </c:xVal>
          <c:yVal>
            <c:numRef>
              <c:f>'USD SOFR BASIC vs ADVANCED'!$X$5:$X$126</c:f>
              <c:numCache>
                <c:formatCode>General</c:formatCode>
                <c:ptCount val="122"/>
                <c:pt idx="112" formatCode="#,##0.00000">
                  <c:v>1.1832299999999978</c:v>
                </c:pt>
                <c:pt idx="113">
                  <c:v>1.22559</c:v>
                </c:pt>
                <c:pt idx="114">
                  <c:v>1.20502</c:v>
                </c:pt>
                <c:pt idx="115">
                  <c:v>1.23028</c:v>
                </c:pt>
                <c:pt idx="116">
                  <c:v>1.29071</c:v>
                </c:pt>
                <c:pt idx="117">
                  <c:v>1.36849</c:v>
                </c:pt>
                <c:pt idx="118">
                  <c:v>1.4110199999999999</c:v>
                </c:pt>
                <c:pt idx="119">
                  <c:v>1.4213499999999999</c:v>
                </c:pt>
                <c:pt idx="120">
                  <c:v>1.40063</c:v>
                </c:pt>
                <c:pt idx="121">
                  <c:v>1.36656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A870-4420-8B92-A102F9E2A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27616"/>
        <c:axId val="156136576"/>
      </c:scatterChart>
      <c:valAx>
        <c:axId val="156127616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Tenor (Years)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36576"/>
        <c:crosses val="autoZero"/>
        <c:crossBetween val="midCat"/>
      </c:valAx>
      <c:valAx>
        <c:axId val="156136576"/>
        <c:scaling>
          <c:orientation val="minMax"/>
          <c:max val="2.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27616"/>
        <c:crosses val="autoZero"/>
        <c:crossBetween val="midCat"/>
        <c:majorUnit val="0.25"/>
        <c:minorUnit val="0.12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848893465543413"/>
          <c:y val="0.15287335210092062"/>
          <c:w val="0.37131289817634128"/>
          <c:h val="0.35375222142142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19053</xdr:colOff>
      <xdr:row>8</xdr:row>
      <xdr:rowOff>133350</xdr:rowOff>
    </xdr:from>
    <xdr:to>
      <xdr:col>9</xdr:col>
      <xdr:colOff>600078</xdr:colOff>
      <xdr:row>9</xdr:row>
      <xdr:rowOff>104775</xdr:rowOff>
    </xdr:to>
    <xdr:sp macro="" textlink="">
      <xdr:nvSpPr>
        <xdr:cNvPr id="3" name="Left Brace 2"/>
        <xdr:cNvSpPr/>
      </xdr:nvSpPr>
      <xdr:spPr>
        <a:xfrm rot="16200000">
          <a:off x="4191003" y="-57150"/>
          <a:ext cx="161925" cy="3629025"/>
        </a:xfrm>
        <a:prstGeom prst="leftBrace">
          <a:avLst>
            <a:gd name="adj1" fmla="val 8333"/>
            <a:gd name="adj2" fmla="val 50000"/>
          </a:avLst>
        </a:prstGeom>
        <a:ln w="1905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9529</xdr:colOff>
      <xdr:row>8</xdr:row>
      <xdr:rowOff>142875</xdr:rowOff>
    </xdr:from>
    <xdr:to>
      <xdr:col>3</xdr:col>
      <xdr:colOff>590551</xdr:colOff>
      <xdr:row>9</xdr:row>
      <xdr:rowOff>85725</xdr:rowOff>
    </xdr:to>
    <xdr:sp macro="" textlink="">
      <xdr:nvSpPr>
        <xdr:cNvPr id="4" name="Left Brace 3"/>
        <xdr:cNvSpPr/>
      </xdr:nvSpPr>
      <xdr:spPr>
        <a:xfrm rot="16200000">
          <a:off x="1757365" y="1157289"/>
          <a:ext cx="133350" cy="1190622"/>
        </a:xfrm>
        <a:prstGeom prst="leftBrace">
          <a:avLst>
            <a:gd name="adj1" fmla="val 8333"/>
            <a:gd name="adj2" fmla="val 50000"/>
          </a:avLst>
        </a:prstGeom>
        <a:ln w="19050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19053</xdr:colOff>
      <xdr:row>23</xdr:row>
      <xdr:rowOff>161924</xdr:rowOff>
    </xdr:from>
    <xdr:to>
      <xdr:col>8</xdr:col>
      <xdr:colOff>0</xdr:colOff>
      <xdr:row>24</xdr:row>
      <xdr:rowOff>114299</xdr:rowOff>
    </xdr:to>
    <xdr:sp macro="" textlink="">
      <xdr:nvSpPr>
        <xdr:cNvPr id="5" name="Left Brace 4"/>
        <xdr:cNvSpPr/>
      </xdr:nvSpPr>
      <xdr:spPr>
        <a:xfrm rot="16200000">
          <a:off x="2986089" y="2833688"/>
          <a:ext cx="142875" cy="3638547"/>
        </a:xfrm>
        <a:prstGeom prst="leftBrace">
          <a:avLst>
            <a:gd name="adj1" fmla="val 8333"/>
            <a:gd name="adj2" fmla="val 50000"/>
          </a:avLst>
        </a:prstGeom>
        <a:ln w="19050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67387</xdr:colOff>
      <xdr:row>20</xdr:row>
      <xdr:rowOff>152400</xdr:rowOff>
    </xdr:from>
    <xdr:to>
      <xdr:col>2</xdr:col>
      <xdr:colOff>172030</xdr:colOff>
      <xdr:row>21</xdr:row>
      <xdr:rowOff>57735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6587" y="3981450"/>
          <a:ext cx="104643" cy="1053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20</xdr:row>
      <xdr:rowOff>152400</xdr:rowOff>
    </xdr:from>
    <xdr:to>
      <xdr:col>2</xdr:col>
      <xdr:colOff>333243</xdr:colOff>
      <xdr:row>21</xdr:row>
      <xdr:rowOff>57735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" y="3981450"/>
          <a:ext cx="104643" cy="10536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20</xdr:row>
      <xdr:rowOff>152400</xdr:rowOff>
    </xdr:from>
    <xdr:to>
      <xdr:col>2</xdr:col>
      <xdr:colOff>495168</xdr:colOff>
      <xdr:row>21</xdr:row>
      <xdr:rowOff>57735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725" y="3981450"/>
          <a:ext cx="104643" cy="105360"/>
        </a:xfrm>
        <a:prstGeom prst="rect">
          <a:avLst/>
        </a:prstGeom>
      </xdr:spPr>
    </xdr:pic>
    <xdr:clientData/>
  </xdr:twoCellAnchor>
  <xdr:twoCellAnchor editAs="oneCell">
    <xdr:from>
      <xdr:col>1</xdr:col>
      <xdr:colOff>562687</xdr:colOff>
      <xdr:row>6</xdr:row>
      <xdr:rowOff>142875</xdr:rowOff>
    </xdr:from>
    <xdr:to>
      <xdr:col>2</xdr:col>
      <xdr:colOff>57730</xdr:colOff>
      <xdr:row>7</xdr:row>
      <xdr:rowOff>48210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287" y="1285875"/>
          <a:ext cx="104643" cy="105360"/>
        </a:xfrm>
        <a:prstGeom prst="rect">
          <a:avLst/>
        </a:prstGeom>
      </xdr:spPr>
    </xdr:pic>
    <xdr:clientData/>
  </xdr:twoCellAnchor>
  <xdr:twoCellAnchor editAs="oneCell">
    <xdr:from>
      <xdr:col>2</xdr:col>
      <xdr:colOff>544116</xdr:colOff>
      <xdr:row>20</xdr:row>
      <xdr:rowOff>152400</xdr:rowOff>
    </xdr:from>
    <xdr:to>
      <xdr:col>3</xdr:col>
      <xdr:colOff>39159</xdr:colOff>
      <xdr:row>21</xdr:row>
      <xdr:rowOff>57735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3316" y="3981450"/>
          <a:ext cx="104643" cy="105360"/>
        </a:xfrm>
        <a:prstGeom prst="rect">
          <a:avLst/>
        </a:prstGeom>
      </xdr:spPr>
    </xdr:pic>
    <xdr:clientData/>
  </xdr:twoCellAnchor>
  <xdr:oneCellAnchor>
    <xdr:from>
      <xdr:col>3</xdr:col>
      <xdr:colOff>67387</xdr:colOff>
      <xdr:row>20</xdr:row>
      <xdr:rowOff>152400</xdr:rowOff>
    </xdr:from>
    <xdr:ext cx="104643" cy="105360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6187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20</xdr:row>
      <xdr:rowOff>152400</xdr:rowOff>
    </xdr:from>
    <xdr:ext cx="104643" cy="105360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0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3</xdr:col>
      <xdr:colOff>390525</xdr:colOff>
      <xdr:row>20</xdr:row>
      <xdr:rowOff>152400</xdr:rowOff>
    </xdr:from>
    <xdr:ext cx="104643" cy="105360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9325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3</xdr:col>
      <xdr:colOff>550069</xdr:colOff>
      <xdr:row>20</xdr:row>
      <xdr:rowOff>152400</xdr:rowOff>
    </xdr:from>
    <xdr:ext cx="104643" cy="105360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8869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5</xdr:col>
      <xdr:colOff>67387</xdr:colOff>
      <xdr:row>20</xdr:row>
      <xdr:rowOff>152400</xdr:rowOff>
    </xdr:from>
    <xdr:ext cx="104643" cy="105360"/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5387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5</xdr:col>
      <xdr:colOff>228600</xdr:colOff>
      <xdr:row>20</xdr:row>
      <xdr:rowOff>152400</xdr:rowOff>
    </xdr:from>
    <xdr:ext cx="104643" cy="105360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6600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5</xdr:col>
      <xdr:colOff>390525</xdr:colOff>
      <xdr:row>20</xdr:row>
      <xdr:rowOff>152400</xdr:rowOff>
    </xdr:from>
    <xdr:ext cx="104643" cy="105360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8525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5</xdr:col>
      <xdr:colOff>552450</xdr:colOff>
      <xdr:row>20</xdr:row>
      <xdr:rowOff>152400</xdr:rowOff>
    </xdr:from>
    <xdr:ext cx="104643" cy="105360"/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0450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6</xdr:col>
      <xdr:colOff>76912</xdr:colOff>
      <xdr:row>20</xdr:row>
      <xdr:rowOff>152400</xdr:rowOff>
    </xdr:from>
    <xdr:ext cx="104643" cy="105360"/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4512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6</xdr:col>
      <xdr:colOff>228600</xdr:colOff>
      <xdr:row>20</xdr:row>
      <xdr:rowOff>152400</xdr:rowOff>
    </xdr:from>
    <xdr:ext cx="104643" cy="105360"/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200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6</xdr:col>
      <xdr:colOff>390525</xdr:colOff>
      <xdr:row>20</xdr:row>
      <xdr:rowOff>152400</xdr:rowOff>
    </xdr:from>
    <xdr:ext cx="104643" cy="105360"/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6</xdr:col>
      <xdr:colOff>538163</xdr:colOff>
      <xdr:row>20</xdr:row>
      <xdr:rowOff>152401</xdr:rowOff>
    </xdr:from>
    <xdr:ext cx="104643" cy="105360"/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5763" y="3981451"/>
          <a:ext cx="104643" cy="105360"/>
        </a:xfrm>
        <a:prstGeom prst="rect">
          <a:avLst/>
        </a:prstGeom>
      </xdr:spPr>
    </xdr:pic>
    <xdr:clientData/>
  </xdr:oneCellAnchor>
  <xdr:oneCellAnchor>
    <xdr:from>
      <xdr:col>7</xdr:col>
      <xdr:colOff>67387</xdr:colOff>
      <xdr:row>20</xdr:row>
      <xdr:rowOff>152400</xdr:rowOff>
    </xdr:from>
    <xdr:ext cx="104643" cy="105360"/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4587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20</xdr:row>
      <xdr:rowOff>152400</xdr:rowOff>
    </xdr:from>
    <xdr:ext cx="104643" cy="105360"/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7</xdr:col>
      <xdr:colOff>390525</xdr:colOff>
      <xdr:row>20</xdr:row>
      <xdr:rowOff>152400</xdr:rowOff>
    </xdr:from>
    <xdr:ext cx="104643" cy="105360"/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7725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7</xdr:col>
      <xdr:colOff>561975</xdr:colOff>
      <xdr:row>20</xdr:row>
      <xdr:rowOff>152400</xdr:rowOff>
    </xdr:from>
    <xdr:ext cx="104643" cy="105360"/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9175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4</xdr:col>
      <xdr:colOff>76912</xdr:colOff>
      <xdr:row>20</xdr:row>
      <xdr:rowOff>152400</xdr:rowOff>
    </xdr:from>
    <xdr:ext cx="104643" cy="105360"/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5312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4</xdr:col>
      <xdr:colOff>228600</xdr:colOff>
      <xdr:row>20</xdr:row>
      <xdr:rowOff>152400</xdr:rowOff>
    </xdr:from>
    <xdr:ext cx="104643" cy="105360"/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0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4</xdr:col>
      <xdr:colOff>390525</xdr:colOff>
      <xdr:row>20</xdr:row>
      <xdr:rowOff>152400</xdr:rowOff>
    </xdr:from>
    <xdr:ext cx="104643" cy="105360"/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8925" y="3981450"/>
          <a:ext cx="104643" cy="105360"/>
        </a:xfrm>
        <a:prstGeom prst="rect">
          <a:avLst/>
        </a:prstGeom>
      </xdr:spPr>
    </xdr:pic>
    <xdr:clientData/>
  </xdr:oneCellAnchor>
  <xdr:oneCellAnchor>
    <xdr:from>
      <xdr:col>4</xdr:col>
      <xdr:colOff>544116</xdr:colOff>
      <xdr:row>20</xdr:row>
      <xdr:rowOff>152400</xdr:rowOff>
    </xdr:from>
    <xdr:ext cx="104643" cy="105360"/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2516" y="3981450"/>
          <a:ext cx="104643" cy="1053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19050</xdr:rowOff>
    </xdr:from>
    <xdr:to>
      <xdr:col>19</xdr:col>
      <xdr:colOff>66675</xdr:colOff>
      <xdr:row>29</xdr:row>
      <xdr:rowOff>104775</xdr:rowOff>
    </xdr:to>
    <xdr:pic>
      <xdr:nvPicPr>
        <xdr:cNvPr id="2" name="Picture 1" descr="cid:image001.png@01D573BB.192792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90550"/>
          <a:ext cx="11029950" cy="484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19</xdr:col>
      <xdr:colOff>57150</xdr:colOff>
      <xdr:row>60</xdr:row>
      <xdr:rowOff>90847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096000"/>
          <a:ext cx="11029950" cy="5043847"/>
        </a:xfrm>
        <a:prstGeom prst="rect">
          <a:avLst/>
        </a:prstGeom>
      </xdr:spPr>
    </xdr:pic>
    <xdr:clientData/>
  </xdr:twoCellAnchor>
  <xdr:twoCellAnchor editAs="oneCell">
    <xdr:from>
      <xdr:col>19</xdr:col>
      <xdr:colOff>552450</xdr:colOff>
      <xdr:row>3</xdr:row>
      <xdr:rowOff>104775</xdr:rowOff>
    </xdr:from>
    <xdr:to>
      <xdr:col>28</xdr:col>
      <xdr:colOff>324485</xdr:colOff>
      <xdr:row>34</xdr:row>
      <xdr:rowOff>95885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34850" y="676275"/>
          <a:ext cx="5258435" cy="589661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64</xdr:row>
      <xdr:rowOff>0</xdr:rowOff>
    </xdr:from>
    <xdr:to>
      <xdr:col>19</xdr:col>
      <xdr:colOff>57150</xdr:colOff>
      <xdr:row>89</xdr:row>
      <xdr:rowOff>85561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1" y="12192000"/>
          <a:ext cx="11029949" cy="48480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142876</xdr:rowOff>
    </xdr:from>
    <xdr:to>
      <xdr:col>7</xdr:col>
      <xdr:colOff>57150</xdr:colOff>
      <xdr:row>46</xdr:row>
      <xdr:rowOff>180976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2</xdr:row>
      <xdr:rowOff>9524</xdr:rowOff>
    </xdr:from>
    <xdr:to>
      <xdr:col>12</xdr:col>
      <xdr:colOff>371475</xdr:colOff>
      <xdr:row>26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</xdr:row>
      <xdr:rowOff>9524</xdr:rowOff>
    </xdr:from>
    <xdr:to>
      <xdr:col>12</xdr:col>
      <xdr:colOff>371475</xdr:colOff>
      <xdr:row>26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27</xdr:row>
      <xdr:rowOff>0</xdr:rowOff>
    </xdr:from>
    <xdr:to>
      <xdr:col>12</xdr:col>
      <xdr:colOff>390525</xdr:colOff>
      <xdr:row>51</xdr:row>
      <xdr:rowOff>9526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</xdr:colOff>
      <xdr:row>52</xdr:row>
      <xdr:rowOff>0</xdr:rowOff>
    </xdr:from>
    <xdr:to>
      <xdr:col>12</xdr:col>
      <xdr:colOff>390525</xdr:colOff>
      <xdr:row>76</xdr:row>
      <xdr:rowOff>9526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176540</xdr:rowOff>
    </xdr:from>
    <xdr:to>
      <xdr:col>11</xdr:col>
      <xdr:colOff>457200</xdr:colOff>
      <xdr:row>24</xdr:row>
      <xdr:rowOff>182618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76540"/>
          <a:ext cx="6915150" cy="46542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1</xdr:rowOff>
    </xdr:from>
    <xdr:to>
      <xdr:col>8</xdr:col>
      <xdr:colOff>381000</xdr:colOff>
      <xdr:row>47</xdr:row>
      <xdr:rowOff>182003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10201"/>
          <a:ext cx="5010150" cy="38015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147637</xdr:rowOff>
    </xdr:from>
    <xdr:to>
      <xdr:col>8</xdr:col>
      <xdr:colOff>314325</xdr:colOff>
      <xdr:row>15</xdr:row>
      <xdr:rowOff>33337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18</xdr:row>
      <xdr:rowOff>23812</xdr:rowOff>
    </xdr:from>
    <xdr:to>
      <xdr:col>8</xdr:col>
      <xdr:colOff>314325</xdr:colOff>
      <xdr:row>38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</xdr:row>
      <xdr:rowOff>57150</xdr:rowOff>
    </xdr:from>
    <xdr:to>
      <xdr:col>17</xdr:col>
      <xdr:colOff>257175</xdr:colOff>
      <xdr:row>15</xdr:row>
      <xdr:rowOff>52387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28575</xdr:colOff>
      <xdr:row>1</xdr:row>
      <xdr:rowOff>38100</xdr:rowOff>
    </xdr:from>
    <xdr:to>
      <xdr:col>27</xdr:col>
      <xdr:colOff>180975</xdr:colOff>
      <xdr:row>15</xdr:row>
      <xdr:rowOff>63681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68250" y="228600"/>
          <a:ext cx="5638800" cy="27306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9525</xdr:colOff>
      <xdr:row>3</xdr:row>
      <xdr:rowOff>4867</xdr:rowOff>
    </xdr:from>
    <xdr:to>
      <xdr:col>37</xdr:col>
      <xdr:colOff>274355</xdr:colOff>
      <xdr:row>28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9575" y="423967"/>
          <a:ext cx="9408830" cy="5271983"/>
        </a:xfrm>
        <a:prstGeom prst="rect">
          <a:avLst/>
        </a:prstGeom>
      </xdr:spPr>
    </xdr:pic>
    <xdr:clientData/>
  </xdr:twoCellAnchor>
  <xdr:twoCellAnchor>
    <xdr:from>
      <xdr:col>39</xdr:col>
      <xdr:colOff>19050</xdr:colOff>
      <xdr:row>36</xdr:row>
      <xdr:rowOff>189248</xdr:rowOff>
    </xdr:from>
    <xdr:to>
      <xdr:col>53</xdr:col>
      <xdr:colOff>240300</xdr:colOff>
      <xdr:row>43</xdr:row>
      <xdr:rowOff>124140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91550" y="15848348"/>
          <a:ext cx="8755650" cy="1268392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28</xdr:row>
      <xdr:rowOff>7061</xdr:rowOff>
    </xdr:from>
    <xdr:to>
      <xdr:col>53</xdr:col>
      <xdr:colOff>238125</xdr:colOff>
      <xdr:row>35</xdr:row>
      <xdr:rowOff>49612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82025" y="14142161"/>
          <a:ext cx="8763000" cy="138557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3</xdr:row>
      <xdr:rowOff>9526</xdr:rowOff>
    </xdr:from>
    <xdr:to>
      <xdr:col>53</xdr:col>
      <xdr:colOff>314325</xdr:colOff>
      <xdr:row>25</xdr:row>
      <xdr:rowOff>181333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82025" y="4429126"/>
          <a:ext cx="8839200" cy="4191357"/>
        </a:xfrm>
        <a:prstGeom prst="rect">
          <a:avLst/>
        </a:prstGeom>
      </xdr:spPr>
    </xdr:pic>
    <xdr:clientData/>
  </xdr:twoCellAnchor>
  <xdr:twoCellAnchor>
    <xdr:from>
      <xdr:col>55</xdr:col>
      <xdr:colOff>523875</xdr:colOff>
      <xdr:row>3</xdr:row>
      <xdr:rowOff>0</xdr:rowOff>
    </xdr:from>
    <xdr:to>
      <xdr:col>67</xdr:col>
      <xdr:colOff>477264</xdr:colOff>
      <xdr:row>15</xdr:row>
      <xdr:rowOff>114646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717125" y="419100"/>
          <a:ext cx="7268589" cy="2476846"/>
        </a:xfrm>
        <a:prstGeom prst="rect">
          <a:avLst/>
        </a:prstGeom>
      </xdr:spPr>
    </xdr:pic>
    <xdr:clientData/>
  </xdr:twoCellAnchor>
  <xdr:twoCellAnchor>
    <xdr:from>
      <xdr:col>55</xdr:col>
      <xdr:colOff>552450</xdr:colOff>
      <xdr:row>15</xdr:row>
      <xdr:rowOff>19050</xdr:rowOff>
    </xdr:from>
    <xdr:to>
      <xdr:col>67</xdr:col>
      <xdr:colOff>515366</xdr:colOff>
      <xdr:row>34</xdr:row>
      <xdr:rowOff>172035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745700" y="2800350"/>
          <a:ext cx="7278116" cy="4191585"/>
        </a:xfrm>
        <a:prstGeom prst="rect">
          <a:avLst/>
        </a:prstGeom>
      </xdr:spPr>
    </xdr:pic>
    <xdr:clientData/>
  </xdr:twoCellAnchor>
  <xdr:twoCellAnchor>
    <xdr:from>
      <xdr:col>56</xdr:col>
      <xdr:colOff>0</xdr:colOff>
      <xdr:row>58</xdr:row>
      <xdr:rowOff>0</xdr:rowOff>
    </xdr:from>
    <xdr:to>
      <xdr:col>67</xdr:col>
      <xdr:colOff>239094</xdr:colOff>
      <xdr:row>78</xdr:row>
      <xdr:rowOff>172006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02850" y="11391900"/>
          <a:ext cx="6944694" cy="3982006"/>
        </a:xfrm>
        <a:prstGeom prst="rect">
          <a:avLst/>
        </a:prstGeom>
      </xdr:spPr>
    </xdr:pic>
    <xdr:clientData/>
  </xdr:twoCellAnchor>
  <xdr:twoCellAnchor>
    <xdr:from>
      <xdr:col>56</xdr:col>
      <xdr:colOff>0</xdr:colOff>
      <xdr:row>36</xdr:row>
      <xdr:rowOff>0</xdr:rowOff>
    </xdr:from>
    <xdr:to>
      <xdr:col>66</xdr:col>
      <xdr:colOff>572431</xdr:colOff>
      <xdr:row>57</xdr:row>
      <xdr:rowOff>67243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58850" y="7200900"/>
          <a:ext cx="6668431" cy="4067743"/>
        </a:xfrm>
        <a:prstGeom prst="rect">
          <a:avLst/>
        </a:prstGeom>
      </xdr:spPr>
    </xdr:pic>
    <xdr:clientData/>
  </xdr:twoCellAnchor>
  <xdr:twoCellAnchor editAs="oneCell">
    <xdr:from>
      <xdr:col>9</xdr:col>
      <xdr:colOff>170706</xdr:colOff>
      <xdr:row>31</xdr:row>
      <xdr:rowOff>38100</xdr:rowOff>
    </xdr:from>
    <xdr:to>
      <xdr:col>13</xdr:col>
      <xdr:colOff>114300</xdr:colOff>
      <xdr:row>38</xdr:row>
      <xdr:rowOff>9780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47956" y="6172200"/>
          <a:ext cx="1896219" cy="130518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19050</xdr:rowOff>
    </xdr:from>
    <xdr:to>
      <xdr:col>12</xdr:col>
      <xdr:colOff>276474</xdr:colOff>
      <xdr:row>4</xdr:row>
      <xdr:rowOff>47687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477250" y="400050"/>
          <a:ext cx="1781424" cy="4477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523875</xdr:colOff>
      <xdr:row>3</xdr:row>
      <xdr:rowOff>0</xdr:rowOff>
    </xdr:from>
    <xdr:to>
      <xdr:col>67</xdr:col>
      <xdr:colOff>477264</xdr:colOff>
      <xdr:row>15</xdr:row>
      <xdr:rowOff>114646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35200" y="657225"/>
          <a:ext cx="0" cy="2762596"/>
        </a:xfrm>
        <a:prstGeom prst="rect">
          <a:avLst/>
        </a:prstGeom>
      </xdr:spPr>
    </xdr:pic>
    <xdr:clientData/>
  </xdr:twoCellAnchor>
  <xdr:twoCellAnchor>
    <xdr:from>
      <xdr:col>55</xdr:col>
      <xdr:colOff>552450</xdr:colOff>
      <xdr:row>15</xdr:row>
      <xdr:rowOff>19050</xdr:rowOff>
    </xdr:from>
    <xdr:to>
      <xdr:col>67</xdr:col>
      <xdr:colOff>515366</xdr:colOff>
      <xdr:row>34</xdr:row>
      <xdr:rowOff>172035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35200" y="3324225"/>
          <a:ext cx="0" cy="4382085"/>
        </a:xfrm>
        <a:prstGeom prst="rect">
          <a:avLst/>
        </a:prstGeom>
      </xdr:spPr>
    </xdr:pic>
    <xdr:clientData/>
  </xdr:twoCellAnchor>
  <xdr:twoCellAnchor>
    <xdr:from>
      <xdr:col>56</xdr:col>
      <xdr:colOff>0</xdr:colOff>
      <xdr:row>58</xdr:row>
      <xdr:rowOff>0</xdr:rowOff>
    </xdr:from>
    <xdr:to>
      <xdr:col>67</xdr:col>
      <xdr:colOff>239094</xdr:colOff>
      <xdr:row>78</xdr:row>
      <xdr:rowOff>172006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35200" y="12106275"/>
          <a:ext cx="0" cy="3982006"/>
        </a:xfrm>
        <a:prstGeom prst="rect">
          <a:avLst/>
        </a:prstGeom>
      </xdr:spPr>
    </xdr:pic>
    <xdr:clientData/>
  </xdr:twoCellAnchor>
  <xdr:twoCellAnchor>
    <xdr:from>
      <xdr:col>56</xdr:col>
      <xdr:colOff>0</xdr:colOff>
      <xdr:row>36</xdr:row>
      <xdr:rowOff>0</xdr:rowOff>
    </xdr:from>
    <xdr:to>
      <xdr:col>66</xdr:col>
      <xdr:colOff>572431</xdr:colOff>
      <xdr:row>57</xdr:row>
      <xdr:rowOff>67243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35200" y="7915275"/>
          <a:ext cx="0" cy="4067743"/>
        </a:xfrm>
        <a:prstGeom prst="rect">
          <a:avLst/>
        </a:prstGeom>
      </xdr:spPr>
    </xdr:pic>
    <xdr:clientData/>
  </xdr:twoCellAnchor>
  <xdr:twoCellAnchor editAs="oneCell">
    <xdr:from>
      <xdr:col>9</xdr:col>
      <xdr:colOff>170706</xdr:colOff>
      <xdr:row>31</xdr:row>
      <xdr:rowOff>38100</xdr:rowOff>
    </xdr:from>
    <xdr:to>
      <xdr:col>13</xdr:col>
      <xdr:colOff>114300</xdr:colOff>
      <xdr:row>38</xdr:row>
      <xdr:rowOff>9780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19031" y="7000875"/>
          <a:ext cx="1896219" cy="130518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19050</xdr:rowOff>
    </xdr:from>
    <xdr:to>
      <xdr:col>12</xdr:col>
      <xdr:colOff>276474</xdr:colOff>
      <xdr:row>4</xdr:row>
      <xdr:rowOff>62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48325" y="447675"/>
          <a:ext cx="1781424" cy="447737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3</xdr:row>
      <xdr:rowOff>0</xdr:rowOff>
    </xdr:from>
    <xdr:to>
      <xdr:col>37</xdr:col>
      <xdr:colOff>581025</xdr:colOff>
      <xdr:row>21</xdr:row>
      <xdr:rowOff>24937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716000" y="657225"/>
          <a:ext cx="9725025" cy="4120687"/>
        </a:xfrm>
        <a:prstGeom prst="rect">
          <a:avLst/>
        </a:prstGeom>
      </xdr:spPr>
    </xdr:pic>
    <xdr:clientData/>
  </xdr:twoCellAnchor>
  <xdr:twoCellAnchor>
    <xdr:from>
      <xdr:col>39</xdr:col>
      <xdr:colOff>0</xdr:colOff>
      <xdr:row>3</xdr:row>
      <xdr:rowOff>0</xdr:rowOff>
    </xdr:from>
    <xdr:to>
      <xdr:col>53</xdr:col>
      <xdr:colOff>531738</xdr:colOff>
      <xdr:row>19</xdr:row>
      <xdr:rowOff>76200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25600" y="657225"/>
          <a:ext cx="9066138" cy="3790950"/>
        </a:xfrm>
        <a:prstGeom prst="rect">
          <a:avLst/>
        </a:prstGeom>
      </xdr:spPr>
    </xdr:pic>
    <xdr:clientData/>
  </xdr:twoCellAnchor>
  <xdr:twoCellAnchor>
    <xdr:from>
      <xdr:col>39</xdr:col>
      <xdr:colOff>19050</xdr:colOff>
      <xdr:row>22</xdr:row>
      <xdr:rowOff>55512</xdr:rowOff>
    </xdr:from>
    <xdr:to>
      <xdr:col>53</xdr:col>
      <xdr:colOff>545453</xdr:colOff>
      <xdr:row>26</xdr:row>
      <xdr:rowOff>53939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44650" y="5037087"/>
          <a:ext cx="9060803" cy="931877"/>
        </a:xfrm>
        <a:prstGeom prst="rect">
          <a:avLst/>
        </a:prstGeom>
      </xdr:spPr>
    </xdr:pic>
    <xdr:clientData/>
  </xdr:twoCellAnchor>
  <xdr:twoCellAnchor>
    <xdr:from>
      <xdr:col>39</xdr:col>
      <xdr:colOff>38100</xdr:colOff>
      <xdr:row>29</xdr:row>
      <xdr:rowOff>25219</xdr:rowOff>
    </xdr:from>
    <xdr:to>
      <xdr:col>53</xdr:col>
      <xdr:colOff>523875</xdr:colOff>
      <xdr:row>34</xdr:row>
      <xdr:rowOff>30698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363700" y="6606994"/>
          <a:ext cx="9020175" cy="9579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8</xdr:row>
      <xdr:rowOff>19050</xdr:rowOff>
    </xdr:from>
    <xdr:to>
      <xdr:col>4</xdr:col>
      <xdr:colOff>447675</xdr:colOff>
      <xdr:row>37</xdr:row>
      <xdr:rowOff>0</xdr:rowOff>
    </xdr:to>
    <xdr:sp macro="" textlink="">
      <xdr:nvSpPr>
        <xdr:cNvPr id="5" name="Down Arrow 4"/>
        <xdr:cNvSpPr/>
      </xdr:nvSpPr>
      <xdr:spPr>
        <a:xfrm>
          <a:off x="2533650" y="1581150"/>
          <a:ext cx="352425" cy="5505450"/>
        </a:xfrm>
        <a:prstGeom prst="downArrow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57150</xdr:colOff>
      <xdr:row>8</xdr:row>
      <xdr:rowOff>0</xdr:rowOff>
    </xdr:from>
    <xdr:to>
      <xdr:col>9</xdr:col>
      <xdr:colOff>457200</xdr:colOff>
      <xdr:row>36</xdr:row>
      <xdr:rowOff>171450</xdr:rowOff>
    </xdr:to>
    <xdr:sp macro="" textlink="">
      <xdr:nvSpPr>
        <xdr:cNvPr id="6" name="Down Arrow 5"/>
        <xdr:cNvSpPr/>
      </xdr:nvSpPr>
      <xdr:spPr>
        <a:xfrm>
          <a:off x="5543550" y="1562100"/>
          <a:ext cx="400050" cy="5505450"/>
        </a:xfrm>
        <a:prstGeom prst="downArrow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85725</xdr:colOff>
      <xdr:row>8</xdr:row>
      <xdr:rowOff>0</xdr:rowOff>
    </xdr:from>
    <xdr:to>
      <xdr:col>14</xdr:col>
      <xdr:colOff>485775</xdr:colOff>
      <xdr:row>36</xdr:row>
      <xdr:rowOff>171450</xdr:rowOff>
    </xdr:to>
    <xdr:sp macro="" textlink="">
      <xdr:nvSpPr>
        <xdr:cNvPr id="7" name="Down Arrow 6"/>
        <xdr:cNvSpPr/>
      </xdr:nvSpPr>
      <xdr:spPr>
        <a:xfrm>
          <a:off x="8620125" y="1562100"/>
          <a:ext cx="400050" cy="5505450"/>
        </a:xfrm>
        <a:prstGeom prst="downArrow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19</xdr:col>
      <xdr:colOff>85725</xdr:colOff>
      <xdr:row>8</xdr:row>
      <xdr:rowOff>19050</xdr:rowOff>
    </xdr:from>
    <xdr:to>
      <xdr:col>19</xdr:col>
      <xdr:colOff>485775</xdr:colOff>
      <xdr:row>37</xdr:row>
      <xdr:rowOff>0</xdr:rowOff>
    </xdr:to>
    <xdr:sp macro="" textlink="">
      <xdr:nvSpPr>
        <xdr:cNvPr id="8" name="Down Arrow 7"/>
        <xdr:cNvSpPr/>
      </xdr:nvSpPr>
      <xdr:spPr>
        <a:xfrm>
          <a:off x="11668125" y="1581150"/>
          <a:ext cx="400050" cy="5505450"/>
        </a:xfrm>
        <a:prstGeom prst="downArrow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24</xdr:col>
      <xdr:colOff>104775</xdr:colOff>
      <xdr:row>8</xdr:row>
      <xdr:rowOff>38100</xdr:rowOff>
    </xdr:from>
    <xdr:to>
      <xdr:col>24</xdr:col>
      <xdr:colOff>504825</xdr:colOff>
      <xdr:row>30</xdr:row>
      <xdr:rowOff>171450</xdr:rowOff>
    </xdr:to>
    <xdr:sp macro="" textlink="">
      <xdr:nvSpPr>
        <xdr:cNvPr id="9" name="Down Arrow 8"/>
        <xdr:cNvSpPr/>
      </xdr:nvSpPr>
      <xdr:spPr>
        <a:xfrm>
          <a:off x="14735175" y="1600200"/>
          <a:ext cx="400050" cy="4324350"/>
        </a:xfrm>
        <a:prstGeom prst="downArrow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518361</xdr:colOff>
      <xdr:row>13</xdr:row>
      <xdr:rowOff>74696</xdr:rowOff>
    </xdr:from>
    <xdr:to>
      <xdr:col>6</xdr:col>
      <xdr:colOff>166235</xdr:colOff>
      <xdr:row>14</xdr:row>
      <xdr:rowOff>141670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7736" y="2570246"/>
          <a:ext cx="257474" cy="257474"/>
        </a:xfrm>
        <a:prstGeom prst="rect">
          <a:avLst/>
        </a:prstGeom>
      </xdr:spPr>
    </xdr:pic>
    <xdr:clientData/>
  </xdr:twoCellAnchor>
  <xdr:oneCellAnchor>
    <xdr:from>
      <xdr:col>5</xdr:col>
      <xdr:colOff>489786</xdr:colOff>
      <xdr:row>19</xdr:row>
      <xdr:rowOff>84221</xdr:rowOff>
    </xdr:from>
    <xdr:ext cx="257474" cy="257474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9161" y="3532271"/>
          <a:ext cx="257474" cy="257474"/>
        </a:xfrm>
        <a:prstGeom prst="rect">
          <a:avLst/>
        </a:prstGeom>
      </xdr:spPr>
    </xdr:pic>
    <xdr:clientData/>
  </xdr:oneCellAnchor>
  <xdr:oneCellAnchor>
    <xdr:from>
      <xdr:col>5</xdr:col>
      <xdr:colOff>499311</xdr:colOff>
      <xdr:row>25</xdr:row>
      <xdr:rowOff>84221</xdr:rowOff>
    </xdr:from>
    <xdr:ext cx="257474" cy="257474"/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8686" y="4484771"/>
          <a:ext cx="257474" cy="257474"/>
        </a:xfrm>
        <a:prstGeom prst="rect">
          <a:avLst/>
        </a:prstGeom>
      </xdr:spPr>
    </xdr:pic>
    <xdr:clientData/>
  </xdr:oneCellAnchor>
  <xdr:oneCellAnchor>
    <xdr:from>
      <xdr:col>5</xdr:col>
      <xdr:colOff>508836</xdr:colOff>
      <xdr:row>31</xdr:row>
      <xdr:rowOff>65171</xdr:rowOff>
    </xdr:from>
    <xdr:ext cx="257474" cy="257474"/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8211" y="5418221"/>
          <a:ext cx="257474" cy="257474"/>
        </a:xfrm>
        <a:prstGeom prst="rect">
          <a:avLst/>
        </a:prstGeom>
      </xdr:spPr>
    </xdr:pic>
    <xdr:clientData/>
  </xdr:oneCellAnchor>
  <xdr:oneCellAnchor>
    <xdr:from>
      <xdr:col>12</xdr:col>
      <xdr:colOff>518361</xdr:colOff>
      <xdr:row>13</xdr:row>
      <xdr:rowOff>74696</xdr:rowOff>
    </xdr:from>
    <xdr:ext cx="257474" cy="257474"/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7736" y="2570246"/>
          <a:ext cx="257474" cy="257474"/>
        </a:xfrm>
        <a:prstGeom prst="rect">
          <a:avLst/>
        </a:prstGeom>
      </xdr:spPr>
    </xdr:pic>
    <xdr:clientData/>
  </xdr:oneCellAnchor>
  <xdr:oneCellAnchor>
    <xdr:from>
      <xdr:col>12</xdr:col>
      <xdr:colOff>489786</xdr:colOff>
      <xdr:row>19</xdr:row>
      <xdr:rowOff>84221</xdr:rowOff>
    </xdr:from>
    <xdr:ext cx="257474" cy="257474"/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9161" y="3532271"/>
          <a:ext cx="257474" cy="257474"/>
        </a:xfrm>
        <a:prstGeom prst="rect">
          <a:avLst/>
        </a:prstGeom>
      </xdr:spPr>
    </xdr:pic>
    <xdr:clientData/>
  </xdr:oneCellAnchor>
  <xdr:oneCellAnchor>
    <xdr:from>
      <xdr:col>12</xdr:col>
      <xdr:colOff>499311</xdr:colOff>
      <xdr:row>25</xdr:row>
      <xdr:rowOff>84221</xdr:rowOff>
    </xdr:from>
    <xdr:ext cx="257474" cy="257474"/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8686" y="4484771"/>
          <a:ext cx="257474" cy="257474"/>
        </a:xfrm>
        <a:prstGeom prst="rect">
          <a:avLst/>
        </a:prstGeom>
      </xdr:spPr>
    </xdr:pic>
    <xdr:clientData/>
  </xdr:oneCellAnchor>
  <xdr:oneCellAnchor>
    <xdr:from>
      <xdr:col>12</xdr:col>
      <xdr:colOff>508836</xdr:colOff>
      <xdr:row>31</xdr:row>
      <xdr:rowOff>65171</xdr:rowOff>
    </xdr:from>
    <xdr:ext cx="257474" cy="257474"/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8211" y="5418221"/>
          <a:ext cx="257474" cy="257474"/>
        </a:xfrm>
        <a:prstGeom prst="rect">
          <a:avLst/>
        </a:prstGeom>
      </xdr:spPr>
    </xdr:pic>
    <xdr:clientData/>
  </xdr:oneCellAnchor>
  <xdr:oneCellAnchor>
    <xdr:from>
      <xdr:col>19</xdr:col>
      <xdr:colOff>518361</xdr:colOff>
      <xdr:row>13</xdr:row>
      <xdr:rowOff>74696</xdr:rowOff>
    </xdr:from>
    <xdr:ext cx="257474" cy="257474"/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7736" y="2570246"/>
          <a:ext cx="257474" cy="257474"/>
        </a:xfrm>
        <a:prstGeom prst="rect">
          <a:avLst/>
        </a:prstGeom>
      </xdr:spPr>
    </xdr:pic>
    <xdr:clientData/>
  </xdr:oneCellAnchor>
  <xdr:oneCellAnchor>
    <xdr:from>
      <xdr:col>19</xdr:col>
      <xdr:colOff>489786</xdr:colOff>
      <xdr:row>19</xdr:row>
      <xdr:rowOff>84221</xdr:rowOff>
    </xdr:from>
    <xdr:ext cx="257474" cy="257474"/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9161" y="3532271"/>
          <a:ext cx="257474" cy="257474"/>
        </a:xfrm>
        <a:prstGeom prst="rect">
          <a:avLst/>
        </a:prstGeom>
      </xdr:spPr>
    </xdr:pic>
    <xdr:clientData/>
  </xdr:oneCellAnchor>
  <xdr:oneCellAnchor>
    <xdr:from>
      <xdr:col>19</xdr:col>
      <xdr:colOff>499311</xdr:colOff>
      <xdr:row>25</xdr:row>
      <xdr:rowOff>84221</xdr:rowOff>
    </xdr:from>
    <xdr:ext cx="257474" cy="257474"/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8686" y="4484771"/>
          <a:ext cx="257474" cy="257474"/>
        </a:xfrm>
        <a:prstGeom prst="rect">
          <a:avLst/>
        </a:prstGeom>
      </xdr:spPr>
    </xdr:pic>
    <xdr:clientData/>
  </xdr:oneCellAnchor>
  <xdr:oneCellAnchor>
    <xdr:from>
      <xdr:col>19</xdr:col>
      <xdr:colOff>508836</xdr:colOff>
      <xdr:row>31</xdr:row>
      <xdr:rowOff>65171</xdr:rowOff>
    </xdr:from>
    <xdr:ext cx="257474" cy="257474"/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8211" y="5418221"/>
          <a:ext cx="257474" cy="257474"/>
        </a:xfrm>
        <a:prstGeom prst="rect">
          <a:avLst/>
        </a:prstGeom>
      </xdr:spPr>
    </xdr:pic>
    <xdr:clientData/>
  </xdr:oneCellAnchor>
  <xdr:oneCellAnchor>
    <xdr:from>
      <xdr:col>26</xdr:col>
      <xdr:colOff>518361</xdr:colOff>
      <xdr:row>13</xdr:row>
      <xdr:rowOff>74696</xdr:rowOff>
    </xdr:from>
    <xdr:ext cx="257474" cy="257474"/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7736" y="2570246"/>
          <a:ext cx="257474" cy="257474"/>
        </a:xfrm>
        <a:prstGeom prst="rect">
          <a:avLst/>
        </a:prstGeom>
      </xdr:spPr>
    </xdr:pic>
    <xdr:clientData/>
  </xdr:oneCellAnchor>
  <xdr:oneCellAnchor>
    <xdr:from>
      <xdr:col>26</xdr:col>
      <xdr:colOff>489786</xdr:colOff>
      <xdr:row>19</xdr:row>
      <xdr:rowOff>84221</xdr:rowOff>
    </xdr:from>
    <xdr:ext cx="257474" cy="257474"/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9161" y="3532271"/>
          <a:ext cx="257474" cy="257474"/>
        </a:xfrm>
        <a:prstGeom prst="rect">
          <a:avLst/>
        </a:prstGeom>
      </xdr:spPr>
    </xdr:pic>
    <xdr:clientData/>
  </xdr:oneCellAnchor>
  <xdr:oneCellAnchor>
    <xdr:from>
      <xdr:col>26</xdr:col>
      <xdr:colOff>499311</xdr:colOff>
      <xdr:row>25</xdr:row>
      <xdr:rowOff>84221</xdr:rowOff>
    </xdr:from>
    <xdr:ext cx="257474" cy="257474"/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8686" y="4484771"/>
          <a:ext cx="257474" cy="257474"/>
        </a:xfrm>
        <a:prstGeom prst="rect">
          <a:avLst/>
        </a:prstGeom>
      </xdr:spPr>
    </xdr:pic>
    <xdr:clientData/>
  </xdr:oneCellAnchor>
  <xdr:oneCellAnchor>
    <xdr:from>
      <xdr:col>26</xdr:col>
      <xdr:colOff>508836</xdr:colOff>
      <xdr:row>31</xdr:row>
      <xdr:rowOff>65171</xdr:rowOff>
    </xdr:from>
    <xdr:ext cx="257474" cy="257474"/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8211" y="5418221"/>
          <a:ext cx="257474" cy="257474"/>
        </a:xfrm>
        <a:prstGeom prst="rect">
          <a:avLst/>
        </a:prstGeom>
      </xdr:spPr>
    </xdr:pic>
    <xdr:clientData/>
  </xdr:oneCellAnchor>
  <xdr:oneCellAnchor>
    <xdr:from>
      <xdr:col>33</xdr:col>
      <xdr:colOff>518361</xdr:colOff>
      <xdr:row>13</xdr:row>
      <xdr:rowOff>74696</xdr:rowOff>
    </xdr:from>
    <xdr:ext cx="257474" cy="257474"/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7586" y="2570246"/>
          <a:ext cx="257474" cy="257474"/>
        </a:xfrm>
        <a:prstGeom prst="rect">
          <a:avLst/>
        </a:prstGeom>
      </xdr:spPr>
    </xdr:pic>
    <xdr:clientData/>
  </xdr:oneCellAnchor>
  <xdr:oneCellAnchor>
    <xdr:from>
      <xdr:col>33</xdr:col>
      <xdr:colOff>489786</xdr:colOff>
      <xdr:row>19</xdr:row>
      <xdr:rowOff>84221</xdr:rowOff>
    </xdr:from>
    <xdr:ext cx="257474" cy="257474"/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9011" y="3532271"/>
          <a:ext cx="257474" cy="257474"/>
        </a:xfrm>
        <a:prstGeom prst="rect">
          <a:avLst/>
        </a:prstGeom>
      </xdr:spPr>
    </xdr:pic>
    <xdr:clientData/>
  </xdr:oneCellAnchor>
  <xdr:oneCellAnchor>
    <xdr:from>
      <xdr:col>33</xdr:col>
      <xdr:colOff>499311</xdr:colOff>
      <xdr:row>25</xdr:row>
      <xdr:rowOff>84221</xdr:rowOff>
    </xdr:from>
    <xdr:ext cx="257474" cy="257474"/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48536" y="4484771"/>
          <a:ext cx="257474" cy="257474"/>
        </a:xfrm>
        <a:prstGeom prst="rect">
          <a:avLst/>
        </a:prstGeom>
      </xdr:spPr>
    </xdr:pic>
    <xdr:clientData/>
  </xdr:oneCellAnchor>
  <xdr:twoCellAnchor>
    <xdr:from>
      <xdr:col>21</xdr:col>
      <xdr:colOff>23285</xdr:colOff>
      <xdr:row>15</xdr:row>
      <xdr:rowOff>1057</xdr:rowOff>
    </xdr:from>
    <xdr:to>
      <xdr:col>23</xdr:col>
      <xdr:colOff>404285</xdr:colOff>
      <xdr:row>31</xdr:row>
      <xdr:rowOff>134407</xdr:rowOff>
    </xdr:to>
    <xdr:sp macro="" textlink="">
      <xdr:nvSpPr>
        <xdr:cNvPr id="6" name="Curved Left Arrow 5"/>
        <xdr:cNvSpPr/>
      </xdr:nvSpPr>
      <xdr:spPr>
        <a:xfrm>
          <a:off x="10744202" y="2879724"/>
          <a:ext cx="1174750" cy="3181350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171450</xdr:colOff>
      <xdr:row>14</xdr:row>
      <xdr:rowOff>40219</xdr:rowOff>
    </xdr:from>
    <xdr:to>
      <xdr:col>4</xdr:col>
      <xdr:colOff>552450</xdr:colOff>
      <xdr:row>30</xdr:row>
      <xdr:rowOff>173569</xdr:rowOff>
    </xdr:to>
    <xdr:sp macro="" textlink="">
      <xdr:nvSpPr>
        <xdr:cNvPr id="28" name="Curved Left Arrow 27"/>
        <xdr:cNvSpPr/>
      </xdr:nvSpPr>
      <xdr:spPr>
        <a:xfrm rot="10800000">
          <a:off x="1399117" y="2728386"/>
          <a:ext cx="1174750" cy="3181350"/>
        </a:xfrm>
        <a:prstGeom prst="curvedLeftArrow">
          <a:avLst/>
        </a:prstGeom>
        <a:solidFill>
          <a:schemeClr val="bg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28575</xdr:colOff>
      <xdr:row>14</xdr:row>
      <xdr:rowOff>161925</xdr:rowOff>
    </xdr:from>
    <xdr:to>
      <xdr:col>9</xdr:col>
      <xdr:colOff>409575</xdr:colOff>
      <xdr:row>31</xdr:row>
      <xdr:rowOff>104775</xdr:rowOff>
    </xdr:to>
    <xdr:sp macro="" textlink="">
      <xdr:nvSpPr>
        <xdr:cNvPr id="29" name="Curved Left Arrow 28"/>
        <xdr:cNvSpPr/>
      </xdr:nvSpPr>
      <xdr:spPr>
        <a:xfrm>
          <a:off x="3867150" y="2847975"/>
          <a:ext cx="1171575" cy="3181350"/>
        </a:xfrm>
        <a:prstGeom prst="curvedLeftArrow">
          <a:avLst/>
        </a:prstGeom>
        <a:solidFill>
          <a:schemeClr val="bg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35</xdr:col>
      <xdr:colOff>45508</xdr:colOff>
      <xdr:row>11</xdr:row>
      <xdr:rowOff>168274</xdr:rowOff>
    </xdr:from>
    <xdr:to>
      <xdr:col>37</xdr:col>
      <xdr:colOff>426508</xdr:colOff>
      <xdr:row>28</xdr:row>
      <xdr:rowOff>111124</xdr:rowOff>
    </xdr:to>
    <xdr:sp macro="" textlink="">
      <xdr:nvSpPr>
        <xdr:cNvPr id="30" name="Curved Left Arrow 29"/>
        <xdr:cNvSpPr/>
      </xdr:nvSpPr>
      <xdr:spPr>
        <a:xfrm>
          <a:off x="17624425" y="2284941"/>
          <a:ext cx="1174750" cy="3181350"/>
        </a:xfrm>
        <a:prstGeom prst="curvedLeftArrow">
          <a:avLst/>
        </a:prstGeom>
        <a:solidFill>
          <a:srgbClr val="CC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30</xdr:col>
      <xdr:colOff>282575</xdr:colOff>
      <xdr:row>11</xdr:row>
      <xdr:rowOff>98424</xdr:rowOff>
    </xdr:from>
    <xdr:to>
      <xdr:col>33</xdr:col>
      <xdr:colOff>49742</xdr:colOff>
      <xdr:row>28</xdr:row>
      <xdr:rowOff>41274</xdr:rowOff>
    </xdr:to>
    <xdr:sp macro="" textlink="">
      <xdr:nvSpPr>
        <xdr:cNvPr id="31" name="Curved Left Arrow 30"/>
        <xdr:cNvSpPr/>
      </xdr:nvSpPr>
      <xdr:spPr>
        <a:xfrm rot="10800000">
          <a:off x="15226242" y="2215091"/>
          <a:ext cx="1174750" cy="3181350"/>
        </a:xfrm>
        <a:prstGeom prst="curvedLeftArrow">
          <a:avLst/>
        </a:prstGeom>
        <a:solidFill>
          <a:srgbClr val="CC00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239182</xdr:colOff>
      <xdr:row>14</xdr:row>
      <xdr:rowOff>44454</xdr:rowOff>
    </xdr:from>
    <xdr:to>
      <xdr:col>12</xdr:col>
      <xdr:colOff>6349</xdr:colOff>
      <xdr:row>30</xdr:row>
      <xdr:rowOff>177804</xdr:rowOff>
    </xdr:to>
    <xdr:sp macro="" textlink="">
      <xdr:nvSpPr>
        <xdr:cNvPr id="32" name="Curved Left Arrow 31"/>
        <xdr:cNvSpPr/>
      </xdr:nvSpPr>
      <xdr:spPr>
        <a:xfrm rot="10800000">
          <a:off x="4895849" y="2732621"/>
          <a:ext cx="1174750" cy="3181350"/>
        </a:xfrm>
        <a:prstGeom prst="curvedLef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607484</xdr:colOff>
      <xdr:row>15</xdr:row>
      <xdr:rowOff>11641</xdr:rowOff>
    </xdr:from>
    <xdr:to>
      <xdr:col>16</xdr:col>
      <xdr:colOff>374650</xdr:colOff>
      <xdr:row>31</xdr:row>
      <xdr:rowOff>144991</xdr:rowOff>
    </xdr:to>
    <xdr:sp macro="" textlink="">
      <xdr:nvSpPr>
        <xdr:cNvPr id="33" name="Curved Left Arrow 32"/>
        <xdr:cNvSpPr/>
      </xdr:nvSpPr>
      <xdr:spPr>
        <a:xfrm>
          <a:off x="7285567" y="2890308"/>
          <a:ext cx="1174750" cy="3181350"/>
        </a:xfrm>
        <a:prstGeom prst="curvedLef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28</xdr:col>
      <xdr:colOff>8469</xdr:colOff>
      <xdr:row>14</xdr:row>
      <xdr:rowOff>185211</xdr:rowOff>
    </xdr:from>
    <xdr:to>
      <xdr:col>30</xdr:col>
      <xdr:colOff>389469</xdr:colOff>
      <xdr:row>31</xdr:row>
      <xdr:rowOff>128061</xdr:rowOff>
    </xdr:to>
    <xdr:sp macro="" textlink="">
      <xdr:nvSpPr>
        <xdr:cNvPr id="34" name="Curved Left Arrow 33"/>
        <xdr:cNvSpPr/>
      </xdr:nvSpPr>
      <xdr:spPr>
        <a:xfrm>
          <a:off x="14158386" y="2873378"/>
          <a:ext cx="1174750" cy="3181350"/>
        </a:xfrm>
        <a:prstGeom prst="curvedLeftArrow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249766</xdr:colOff>
      <xdr:row>14</xdr:row>
      <xdr:rowOff>57156</xdr:rowOff>
    </xdr:from>
    <xdr:to>
      <xdr:col>19</xdr:col>
      <xdr:colOff>21166</xdr:colOff>
      <xdr:row>31</xdr:row>
      <xdr:rowOff>6</xdr:rowOff>
    </xdr:to>
    <xdr:sp macro="" textlink="">
      <xdr:nvSpPr>
        <xdr:cNvPr id="27" name="Curved Left Arrow 26"/>
        <xdr:cNvSpPr/>
      </xdr:nvSpPr>
      <xdr:spPr>
        <a:xfrm rot="10800000">
          <a:off x="8335433" y="2745323"/>
          <a:ext cx="1178983" cy="3181350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23</xdr:col>
      <xdr:colOff>243416</xdr:colOff>
      <xdr:row>14</xdr:row>
      <xdr:rowOff>61389</xdr:rowOff>
    </xdr:from>
    <xdr:to>
      <xdr:col>26</xdr:col>
      <xdr:colOff>14816</xdr:colOff>
      <xdr:row>31</xdr:row>
      <xdr:rowOff>4239</xdr:rowOff>
    </xdr:to>
    <xdr:sp macro="" textlink="">
      <xdr:nvSpPr>
        <xdr:cNvPr id="35" name="Curved Left Arrow 34"/>
        <xdr:cNvSpPr/>
      </xdr:nvSpPr>
      <xdr:spPr>
        <a:xfrm rot="10800000">
          <a:off x="11758083" y="2749556"/>
          <a:ext cx="1178983" cy="3181350"/>
        </a:xfrm>
        <a:prstGeom prst="curvedLeftArrow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286896</xdr:colOff>
      <xdr:row>34</xdr:row>
      <xdr:rowOff>115196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211696" cy="6420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slideplayer.com/slide/5302065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slideplayer.com/slide/5302065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3:K29"/>
  <sheetViews>
    <sheetView showGridLines="0" zoomScaleNormal="100" workbookViewId="0"/>
  </sheetViews>
  <sheetFormatPr defaultRowHeight="15" x14ac:dyDescent="0.25"/>
  <sheetData>
    <row r="3" spans="2:11" x14ac:dyDescent="0.25">
      <c r="B3" s="13" t="s">
        <v>153</v>
      </c>
    </row>
    <row r="5" spans="2:11" x14ac:dyDescent="0.25">
      <c r="B5" s="389" t="s">
        <v>148</v>
      </c>
      <c r="C5" s="390"/>
      <c r="D5" s="389" t="s">
        <v>149</v>
      </c>
      <c r="E5" s="390"/>
      <c r="J5" s="389" t="s">
        <v>150</v>
      </c>
      <c r="K5" s="390"/>
    </row>
    <row r="6" spans="2:11" x14ac:dyDescent="0.25">
      <c r="B6" s="390"/>
      <c r="C6" s="390"/>
      <c r="D6" s="390"/>
      <c r="E6" s="390"/>
      <c r="J6" s="390"/>
      <c r="K6" s="390"/>
    </row>
    <row r="7" spans="2:11" ht="15.75" thickBot="1" x14ac:dyDescent="0.3">
      <c r="B7" s="5"/>
      <c r="C7" s="134"/>
      <c r="D7" s="131"/>
      <c r="E7" s="130"/>
      <c r="F7" s="130"/>
      <c r="G7" s="130"/>
      <c r="H7" s="130"/>
      <c r="I7" s="130"/>
      <c r="J7" s="131"/>
    </row>
    <row r="8" spans="2:11" ht="15.75" thickTop="1" x14ac:dyDescent="0.25">
      <c r="B8" s="5"/>
      <c r="C8" s="139"/>
      <c r="D8" s="136"/>
      <c r="E8" s="132"/>
      <c r="F8" s="132"/>
      <c r="G8" s="132"/>
      <c r="H8" s="132"/>
      <c r="I8" s="132"/>
      <c r="J8" s="133"/>
    </row>
    <row r="11" spans="2:11" x14ac:dyDescent="0.25">
      <c r="C11" s="391" t="s">
        <v>152</v>
      </c>
      <c r="D11" s="392"/>
      <c r="G11" s="390" t="s">
        <v>151</v>
      </c>
      <c r="H11" s="390"/>
    </row>
    <row r="13" spans="2:11" x14ac:dyDescent="0.25">
      <c r="C13" s="138" t="s">
        <v>158</v>
      </c>
      <c r="D13" t="s">
        <v>156</v>
      </c>
    </row>
    <row r="14" spans="2:11" x14ac:dyDescent="0.25">
      <c r="C14" s="138" t="s">
        <v>159</v>
      </c>
      <c r="D14" t="s">
        <v>160</v>
      </c>
    </row>
    <row r="15" spans="2:11" x14ac:dyDescent="0.25">
      <c r="C15" s="38"/>
    </row>
    <row r="17" spans="2:9" x14ac:dyDescent="0.25">
      <c r="B17" s="13" t="s">
        <v>154</v>
      </c>
    </row>
    <row r="19" spans="2:9" x14ac:dyDescent="0.25">
      <c r="B19" s="389" t="s">
        <v>149</v>
      </c>
      <c r="C19" s="390"/>
      <c r="H19" s="389" t="s">
        <v>150</v>
      </c>
      <c r="I19" s="390"/>
    </row>
    <row r="20" spans="2:9" x14ac:dyDescent="0.25">
      <c r="B20" s="390"/>
      <c r="C20" s="390"/>
      <c r="H20" s="390"/>
      <c r="I20" s="390"/>
    </row>
    <row r="21" spans="2:9" ht="15.75" thickBot="1" x14ac:dyDescent="0.3">
      <c r="B21" s="136"/>
      <c r="C21" s="134"/>
      <c r="D21" s="130"/>
      <c r="E21" s="130"/>
      <c r="F21" s="130"/>
      <c r="G21" s="130"/>
      <c r="H21" s="131"/>
    </row>
    <row r="22" spans="2:9" ht="15.75" thickTop="1" x14ac:dyDescent="0.25">
      <c r="B22" s="136"/>
      <c r="C22" s="135"/>
      <c r="D22" s="132"/>
      <c r="E22" s="132"/>
      <c r="F22" s="132"/>
      <c r="G22" s="132"/>
      <c r="H22" s="133"/>
    </row>
    <row r="26" spans="2:9" x14ac:dyDescent="0.25">
      <c r="E26" s="390" t="s">
        <v>151</v>
      </c>
      <c r="F26" s="390"/>
    </row>
    <row r="27" spans="2:9" x14ac:dyDescent="0.25">
      <c r="B27" s="137"/>
    </row>
    <row r="28" spans="2:9" x14ac:dyDescent="0.25">
      <c r="C28" s="138" t="s">
        <v>158</v>
      </c>
      <c r="D28" t="s">
        <v>157</v>
      </c>
    </row>
    <row r="29" spans="2:9" x14ac:dyDescent="0.25">
      <c r="C29" s="138" t="s">
        <v>159</v>
      </c>
      <c r="D29" t="s">
        <v>161</v>
      </c>
    </row>
  </sheetData>
  <mergeCells count="8">
    <mergeCell ref="J5:K6"/>
    <mergeCell ref="G11:H11"/>
    <mergeCell ref="C11:D11"/>
    <mergeCell ref="E26:F26"/>
    <mergeCell ref="B19:C20"/>
    <mergeCell ref="H19:I20"/>
    <mergeCell ref="B5:C6"/>
    <mergeCell ref="D5:E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/>
  </sheetPr>
  <dimension ref="P2:S51"/>
  <sheetViews>
    <sheetView showGridLines="0" tabSelected="1" topLeftCell="G34" workbookViewId="0">
      <selection activeCell="O48" sqref="O48"/>
    </sheetView>
  </sheetViews>
  <sheetFormatPr defaultRowHeight="15" x14ac:dyDescent="0.25"/>
  <cols>
    <col min="16" max="16" width="26" bestFit="1" customWidth="1"/>
    <col min="17" max="17" width="12.140625" bestFit="1" customWidth="1"/>
    <col min="18" max="18" width="10.7109375" customWidth="1"/>
    <col min="19" max="19" width="17.85546875" bestFit="1" customWidth="1"/>
  </cols>
  <sheetData>
    <row r="2" spans="16:19" x14ac:dyDescent="0.25">
      <c r="P2" s="13" t="s">
        <v>134</v>
      </c>
    </row>
    <row r="3" spans="16:19" ht="15.75" thickBot="1" x14ac:dyDescent="0.3">
      <c r="P3" s="114" t="s">
        <v>14</v>
      </c>
      <c r="Q3" s="115" t="s">
        <v>137</v>
      </c>
      <c r="R3" s="115" t="s">
        <v>12</v>
      </c>
      <c r="S3" s="115" t="s">
        <v>102</v>
      </c>
    </row>
    <row r="4" spans="16:19" x14ac:dyDescent="0.25">
      <c r="P4" s="182" t="s">
        <v>114</v>
      </c>
      <c r="Q4" s="183" t="s">
        <v>43</v>
      </c>
      <c r="R4" s="184">
        <v>2.0247999999999999</v>
      </c>
      <c r="S4" s="185" t="s">
        <v>64</v>
      </c>
    </row>
    <row r="5" spans="16:19" x14ac:dyDescent="0.25">
      <c r="P5" s="186" t="s">
        <v>53</v>
      </c>
      <c r="Q5" s="187" t="s">
        <v>138</v>
      </c>
      <c r="R5" s="188">
        <v>7.7344999999999997</v>
      </c>
      <c r="S5" s="189" t="s">
        <v>65</v>
      </c>
    </row>
    <row r="6" spans="16:19" x14ac:dyDescent="0.25">
      <c r="P6" s="186" t="s">
        <v>53</v>
      </c>
      <c r="Q6" s="187" t="s">
        <v>2</v>
      </c>
      <c r="R6" s="188">
        <v>1.5989</v>
      </c>
      <c r="S6" s="189" t="s">
        <v>65</v>
      </c>
    </row>
    <row r="7" spans="16:19" x14ac:dyDescent="0.25">
      <c r="P7" s="186" t="s">
        <v>53</v>
      </c>
      <c r="Q7" s="187" t="s">
        <v>145</v>
      </c>
      <c r="R7" s="188">
        <v>1.5205</v>
      </c>
      <c r="S7" s="189" t="s">
        <v>65</v>
      </c>
    </row>
    <row r="8" spans="16:19" x14ac:dyDescent="0.25">
      <c r="P8" s="186" t="s">
        <v>53</v>
      </c>
      <c r="Q8" s="189" t="s">
        <v>3</v>
      </c>
      <c r="R8" s="188">
        <v>1.4604999999999999</v>
      </c>
      <c r="S8" s="189" t="s">
        <v>65</v>
      </c>
    </row>
    <row r="9" spans="16:19" x14ac:dyDescent="0.25">
      <c r="P9" s="186" t="s">
        <v>53</v>
      </c>
      <c r="Q9" s="189" t="s">
        <v>4</v>
      </c>
      <c r="R9" s="188">
        <v>1.369</v>
      </c>
      <c r="S9" s="189" t="s">
        <v>65</v>
      </c>
    </row>
    <row r="10" spans="16:19" x14ac:dyDescent="0.25">
      <c r="P10" s="195" t="s">
        <v>128</v>
      </c>
      <c r="Q10" s="196" t="s">
        <v>28</v>
      </c>
      <c r="R10" s="197">
        <v>0.265625</v>
      </c>
      <c r="S10" s="196" t="s">
        <v>65</v>
      </c>
    </row>
    <row r="11" spans="16:19" x14ac:dyDescent="0.25">
      <c r="P11" s="195" t="s">
        <v>128</v>
      </c>
      <c r="Q11" s="196" t="s">
        <v>5</v>
      </c>
      <c r="R11" s="197">
        <v>0.260625</v>
      </c>
      <c r="S11" s="196" t="s">
        <v>65</v>
      </c>
    </row>
    <row r="12" spans="16:19" x14ac:dyDescent="0.25">
      <c r="P12" s="195" t="s">
        <v>128</v>
      </c>
      <c r="Q12" s="196" t="s">
        <v>7</v>
      </c>
      <c r="R12" s="197">
        <v>0.255</v>
      </c>
      <c r="S12" s="196" t="s">
        <v>65</v>
      </c>
    </row>
    <row r="13" spans="16:19" x14ac:dyDescent="0.25">
      <c r="P13" s="195" t="s">
        <v>128</v>
      </c>
      <c r="Q13" s="196" t="s">
        <v>8</v>
      </c>
      <c r="R13" s="197">
        <v>0.25374999999999998</v>
      </c>
      <c r="S13" s="196" t="s">
        <v>65</v>
      </c>
    </row>
    <row r="14" spans="16:19" x14ac:dyDescent="0.25">
      <c r="P14" s="195" t="s">
        <v>128</v>
      </c>
      <c r="Q14" s="196" t="s">
        <v>9</v>
      </c>
      <c r="R14" s="197">
        <v>0.25374999999999998</v>
      </c>
      <c r="S14" s="196" t="s">
        <v>65</v>
      </c>
    </row>
    <row r="15" spans="16:19" x14ac:dyDescent="0.25">
      <c r="P15" s="195" t="s">
        <v>128</v>
      </c>
      <c r="Q15" s="196" t="s">
        <v>38</v>
      </c>
      <c r="R15" s="197">
        <v>0.25374999999999998</v>
      </c>
      <c r="S15" s="196" t="s">
        <v>65</v>
      </c>
    </row>
    <row r="16" spans="16:19" x14ac:dyDescent="0.25">
      <c r="P16" s="195" t="s">
        <v>128</v>
      </c>
      <c r="Q16" s="196" t="s">
        <v>39</v>
      </c>
      <c r="R16" s="197">
        <v>0.25374999999999998</v>
      </c>
      <c r="S16" s="196" t="s">
        <v>65</v>
      </c>
    </row>
    <row r="17" spans="16:19" x14ac:dyDescent="0.25">
      <c r="S17" s="1"/>
    </row>
    <row r="18" spans="16:19" x14ac:dyDescent="0.25">
      <c r="P18" s="13" t="s">
        <v>135</v>
      </c>
      <c r="S18" s="1"/>
    </row>
    <row r="19" spans="16:19" ht="15.75" thickBot="1" x14ac:dyDescent="0.3">
      <c r="P19" s="114" t="s">
        <v>14</v>
      </c>
      <c r="Q19" s="115" t="s">
        <v>137</v>
      </c>
      <c r="R19" s="115" t="s">
        <v>12</v>
      </c>
      <c r="S19" s="115" t="s">
        <v>102</v>
      </c>
    </row>
    <row r="20" spans="16:19" x14ac:dyDescent="0.25">
      <c r="P20" s="182" t="s">
        <v>114</v>
      </c>
      <c r="Q20" s="183" t="s">
        <v>10</v>
      </c>
      <c r="R20" s="184">
        <v>2.1394000000000002</v>
      </c>
      <c r="S20" s="185" t="s">
        <v>64</v>
      </c>
    </row>
    <row r="21" spans="16:19" x14ac:dyDescent="0.25">
      <c r="P21" s="186" t="s">
        <v>116</v>
      </c>
      <c r="Q21" s="190" t="s">
        <v>139</v>
      </c>
      <c r="R21" s="188">
        <v>97.855000000000004</v>
      </c>
      <c r="S21" s="189" t="s">
        <v>64</v>
      </c>
    </row>
    <row r="22" spans="16:19" x14ac:dyDescent="0.25">
      <c r="P22" s="186" t="s">
        <v>129</v>
      </c>
      <c r="Q22" s="190" t="s">
        <v>140</v>
      </c>
      <c r="R22" s="188">
        <v>97.974999999999994</v>
      </c>
      <c r="S22" s="189" t="s">
        <v>64</v>
      </c>
    </row>
    <row r="23" spans="16:19" x14ac:dyDescent="0.25">
      <c r="P23" s="186" t="s">
        <v>130</v>
      </c>
      <c r="Q23" s="190" t="s">
        <v>141</v>
      </c>
      <c r="R23" s="188">
        <v>98.234999999999999</v>
      </c>
      <c r="S23" s="189" t="s">
        <v>64</v>
      </c>
    </row>
    <row r="24" spans="16:19" x14ac:dyDescent="0.25">
      <c r="P24" s="186" t="s">
        <v>131</v>
      </c>
      <c r="Q24" s="190" t="s">
        <v>142</v>
      </c>
      <c r="R24" s="188">
        <v>98.334999999999994</v>
      </c>
      <c r="S24" s="189" t="s">
        <v>64</v>
      </c>
    </row>
    <row r="25" spans="16:19" x14ac:dyDescent="0.25">
      <c r="P25" s="186" t="s">
        <v>132</v>
      </c>
      <c r="Q25" s="190" t="s">
        <v>143</v>
      </c>
      <c r="R25" s="188">
        <v>98.394999999999996</v>
      </c>
      <c r="S25" s="189" t="s">
        <v>64</v>
      </c>
    </row>
    <row r="26" spans="16:19" x14ac:dyDescent="0.25">
      <c r="P26" s="186" t="s">
        <v>133</v>
      </c>
      <c r="Q26" s="190" t="s">
        <v>144</v>
      </c>
      <c r="R26" s="188">
        <v>98.38</v>
      </c>
      <c r="S26" s="189" t="s">
        <v>64</v>
      </c>
    </row>
    <row r="27" spans="16:19" x14ac:dyDescent="0.25">
      <c r="P27" s="195" t="s">
        <v>55</v>
      </c>
      <c r="Q27" s="196" t="s">
        <v>117</v>
      </c>
      <c r="R27" s="197">
        <v>1.6944999999999999</v>
      </c>
      <c r="S27" s="196" t="s">
        <v>65</v>
      </c>
    </row>
    <row r="28" spans="16:19" x14ac:dyDescent="0.25">
      <c r="P28" s="195" t="s">
        <v>55</v>
      </c>
      <c r="Q28" s="196" t="s">
        <v>4</v>
      </c>
      <c r="R28" s="197">
        <v>1.6588000000000003</v>
      </c>
      <c r="S28" s="196" t="s">
        <v>65</v>
      </c>
    </row>
    <row r="29" spans="16:19" x14ac:dyDescent="0.25">
      <c r="P29" s="195" t="s">
        <v>55</v>
      </c>
      <c r="Q29" s="196" t="s">
        <v>28</v>
      </c>
      <c r="R29" s="197">
        <v>1.6788000000000001</v>
      </c>
      <c r="S29" s="196" t="s">
        <v>65</v>
      </c>
    </row>
    <row r="30" spans="16:19" x14ac:dyDescent="0.25">
      <c r="P30" s="195" t="s">
        <v>55</v>
      </c>
      <c r="Q30" s="196" t="s">
        <v>5</v>
      </c>
      <c r="R30" s="197">
        <v>1.7472000000000001</v>
      </c>
      <c r="S30" s="196" t="s">
        <v>65</v>
      </c>
    </row>
    <row r="31" spans="16:19" x14ac:dyDescent="0.25">
      <c r="P31" s="195" t="s">
        <v>55</v>
      </c>
      <c r="Q31" s="196" t="s">
        <v>7</v>
      </c>
      <c r="R31" s="197">
        <v>1.8408999999999998</v>
      </c>
      <c r="S31" s="196" t="s">
        <v>65</v>
      </c>
    </row>
    <row r="32" spans="16:19" x14ac:dyDescent="0.25">
      <c r="P32" s="195" t="s">
        <v>55</v>
      </c>
      <c r="Q32" s="196" t="s">
        <v>8</v>
      </c>
      <c r="R32" s="197">
        <v>1.8967999999999998</v>
      </c>
      <c r="S32" s="196" t="s">
        <v>65</v>
      </c>
    </row>
    <row r="33" spans="16:19" x14ac:dyDescent="0.25">
      <c r="P33" s="195" t="s">
        <v>55</v>
      </c>
      <c r="Q33" s="196" t="s">
        <v>9</v>
      </c>
      <c r="R33" s="197">
        <v>1.9245999999999999</v>
      </c>
      <c r="S33" s="196" t="s">
        <v>65</v>
      </c>
    </row>
    <row r="34" spans="16:19" x14ac:dyDescent="0.25">
      <c r="P34" s="195" t="s">
        <v>55</v>
      </c>
      <c r="Q34" s="196" t="s">
        <v>38</v>
      </c>
      <c r="R34" s="197">
        <v>1.9245999999999999</v>
      </c>
      <c r="S34" s="196" t="s">
        <v>65</v>
      </c>
    </row>
    <row r="35" spans="16:19" x14ac:dyDescent="0.25">
      <c r="P35" s="195" t="s">
        <v>55</v>
      </c>
      <c r="Q35" s="196" t="s">
        <v>39</v>
      </c>
      <c r="R35" s="197">
        <v>1.9245999999999999</v>
      </c>
      <c r="S35" s="196" t="s">
        <v>65</v>
      </c>
    </row>
    <row r="36" spans="16:19" x14ac:dyDescent="0.25">
      <c r="S36" s="1"/>
    </row>
    <row r="37" spans="16:19" x14ac:dyDescent="0.25">
      <c r="P37" s="13" t="s">
        <v>136</v>
      </c>
      <c r="S37" s="1"/>
    </row>
    <row r="38" spans="16:19" ht="15.75" thickBot="1" x14ac:dyDescent="0.3">
      <c r="P38" s="114" t="s">
        <v>14</v>
      </c>
      <c r="Q38" s="115" t="s">
        <v>89</v>
      </c>
      <c r="R38" s="115" t="s">
        <v>12</v>
      </c>
      <c r="S38" s="115" t="s">
        <v>102</v>
      </c>
    </row>
    <row r="39" spans="16:19" x14ac:dyDescent="0.25">
      <c r="P39" s="182" t="s">
        <v>114</v>
      </c>
      <c r="Q39" s="183" t="s">
        <v>138</v>
      </c>
      <c r="R39" s="184">
        <v>2.7029999999999998</v>
      </c>
      <c r="S39" s="185" t="s">
        <v>64</v>
      </c>
    </row>
    <row r="40" spans="16:19" x14ac:dyDescent="0.25">
      <c r="P40" s="195" t="s">
        <v>146</v>
      </c>
      <c r="Q40" s="198" t="s">
        <v>2</v>
      </c>
      <c r="R40" s="197">
        <v>1.7500000000000002E-2</v>
      </c>
      <c r="S40" s="196" t="s">
        <v>65</v>
      </c>
    </row>
    <row r="41" spans="16:19" x14ac:dyDescent="0.25">
      <c r="P41" s="195" t="s">
        <v>146</v>
      </c>
      <c r="Q41" s="199" t="s">
        <v>3</v>
      </c>
      <c r="R41" s="197">
        <v>4.1250000000000002E-2</v>
      </c>
      <c r="S41" s="196" t="s">
        <v>65</v>
      </c>
    </row>
    <row r="42" spans="16:19" x14ac:dyDescent="0.25">
      <c r="P42" s="195" t="s">
        <v>146</v>
      </c>
      <c r="Q42" s="199" t="s">
        <v>117</v>
      </c>
      <c r="R42" s="197">
        <v>5.1249999999999997E-2</v>
      </c>
      <c r="S42" s="196" t="s">
        <v>65</v>
      </c>
    </row>
    <row r="43" spans="16:19" x14ac:dyDescent="0.25">
      <c r="P43" s="195" t="s">
        <v>146</v>
      </c>
      <c r="Q43" s="196" t="s">
        <v>27</v>
      </c>
      <c r="R43" s="197">
        <v>5.6250000000000001E-2</v>
      </c>
      <c r="S43" s="196" t="s">
        <v>65</v>
      </c>
    </row>
    <row r="44" spans="16:19" x14ac:dyDescent="0.25">
      <c r="P44" s="195" t="s">
        <v>146</v>
      </c>
      <c r="Q44" s="196" t="s">
        <v>4</v>
      </c>
      <c r="R44" s="197">
        <v>6.1249999999999999E-2</v>
      </c>
      <c r="S44" s="196" t="s">
        <v>65</v>
      </c>
    </row>
    <row r="45" spans="16:19" x14ac:dyDescent="0.25">
      <c r="P45" s="195" t="s">
        <v>146</v>
      </c>
      <c r="Q45" s="196" t="s">
        <v>28</v>
      </c>
      <c r="R45" s="197">
        <v>7.3749999999999996E-2</v>
      </c>
      <c r="S45" s="196" t="s">
        <v>65</v>
      </c>
    </row>
    <row r="46" spans="16:19" x14ac:dyDescent="0.25">
      <c r="P46" s="195" t="s">
        <v>146</v>
      </c>
      <c r="Q46" s="196" t="s">
        <v>5</v>
      </c>
      <c r="R46" s="197">
        <v>8.5000000000000006E-2</v>
      </c>
      <c r="S46" s="196" t="s">
        <v>65</v>
      </c>
    </row>
    <row r="47" spans="16:19" x14ac:dyDescent="0.25">
      <c r="P47" s="195" t="s">
        <v>146</v>
      </c>
      <c r="Q47" s="196" t="s">
        <v>7</v>
      </c>
      <c r="R47" s="197">
        <v>9.6250000000000002E-2</v>
      </c>
      <c r="S47" s="196" t="s">
        <v>65</v>
      </c>
    </row>
    <row r="48" spans="16:19" x14ac:dyDescent="0.25">
      <c r="P48" s="195" t="s">
        <v>146</v>
      </c>
      <c r="Q48" s="196" t="s">
        <v>8</v>
      </c>
      <c r="R48" s="197">
        <v>0.10375</v>
      </c>
      <c r="S48" s="196" t="s">
        <v>65</v>
      </c>
    </row>
    <row r="49" spans="16:19" x14ac:dyDescent="0.25">
      <c r="P49" s="195" t="s">
        <v>146</v>
      </c>
      <c r="Q49" s="196" t="s">
        <v>9</v>
      </c>
      <c r="R49" s="197">
        <v>0.11</v>
      </c>
      <c r="S49" s="196" t="s">
        <v>65</v>
      </c>
    </row>
    <row r="50" spans="16:19" x14ac:dyDescent="0.25">
      <c r="P50" s="195" t="s">
        <v>146</v>
      </c>
      <c r="Q50" s="196" t="s">
        <v>38</v>
      </c>
      <c r="R50" s="197">
        <v>0.11</v>
      </c>
      <c r="S50" s="196" t="s">
        <v>65</v>
      </c>
    </row>
    <row r="51" spans="16:19" x14ac:dyDescent="0.25">
      <c r="P51" s="195" t="s">
        <v>146</v>
      </c>
      <c r="Q51" s="196" t="s">
        <v>39</v>
      </c>
      <c r="R51" s="197">
        <v>0.11</v>
      </c>
      <c r="S51" s="196" t="s">
        <v>65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U63"/>
  <sheetViews>
    <sheetView showGridLines="0" workbookViewId="0"/>
  </sheetViews>
  <sheetFormatPr defaultRowHeight="15" x14ac:dyDescent="0.25"/>
  <sheetData>
    <row r="2" spans="2:21" x14ac:dyDescent="0.25">
      <c r="B2" s="13" t="s">
        <v>189</v>
      </c>
    </row>
    <row r="3" spans="2:21" x14ac:dyDescent="0.25">
      <c r="B3" t="s">
        <v>195</v>
      </c>
      <c r="U3" s="13" t="s">
        <v>197</v>
      </c>
    </row>
    <row r="32" spans="2:2" x14ac:dyDescent="0.25">
      <c r="B32" s="13" t="s">
        <v>196</v>
      </c>
    </row>
    <row r="33" spans="2:2" x14ac:dyDescent="0.25">
      <c r="B33" t="s">
        <v>194</v>
      </c>
    </row>
    <row r="63" spans="2:2" x14ac:dyDescent="0.25">
      <c r="B63" s="13" t="s">
        <v>198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D1:AL320"/>
  <sheetViews>
    <sheetView showGridLines="0" zoomScaleNormal="100" workbookViewId="0"/>
  </sheetViews>
  <sheetFormatPr defaultRowHeight="15" outlineLevelCol="1" x14ac:dyDescent="0.25"/>
  <cols>
    <col min="2" max="2" width="27.140625" bestFit="1" customWidth="1"/>
    <col min="3" max="3" width="12.7109375" customWidth="1"/>
    <col min="14" max="15" width="12.42578125" customWidth="1" outlineLevel="1"/>
    <col min="16" max="18" width="12.7109375" style="1" customWidth="1" outlineLevel="1"/>
    <col min="19" max="19" width="12.7109375" customWidth="1" outlineLevel="1"/>
    <col min="20" max="20" width="18.42578125" bestFit="1" customWidth="1"/>
    <col min="21" max="21" width="10.7109375" customWidth="1" outlineLevel="1"/>
    <col min="22" max="22" width="27.140625" customWidth="1" outlineLevel="1"/>
    <col min="23" max="23" width="12.140625" customWidth="1" outlineLevel="1"/>
    <col min="24" max="24" width="10.7109375" customWidth="1" outlineLevel="1"/>
    <col min="25" max="25" width="28.5703125" customWidth="1" outlineLevel="1"/>
    <col min="26" max="26" width="12.42578125" customWidth="1" outlineLevel="1"/>
    <col min="27" max="27" width="24.140625" bestFit="1" customWidth="1"/>
    <col min="28" max="28" width="9.140625" customWidth="1" outlineLevel="1"/>
    <col min="29" max="29" width="26" customWidth="1" outlineLevel="1"/>
    <col min="30" max="31" width="9.140625" customWidth="1" outlineLevel="1"/>
    <col min="32" max="32" width="15.140625" customWidth="1" outlineLevel="1"/>
    <col min="33" max="33" width="16.28515625" customWidth="1" outlineLevel="1"/>
    <col min="34" max="34" width="9.140625" customWidth="1" outlineLevel="1"/>
    <col min="35" max="35" width="9.42578125" customWidth="1" outlineLevel="1"/>
    <col min="36" max="37" width="9.140625" customWidth="1" outlineLevel="1"/>
    <col min="38" max="38" width="18.28515625" bestFit="1" customWidth="1"/>
  </cols>
  <sheetData>
    <row r="1" spans="4:38" x14ac:dyDescent="0.25">
      <c r="T1" s="38" t="s">
        <v>104</v>
      </c>
      <c r="AA1" s="38" t="s">
        <v>105</v>
      </c>
      <c r="AK1" s="92"/>
      <c r="AL1" s="92" t="s">
        <v>103</v>
      </c>
    </row>
    <row r="2" spans="4:38" x14ac:dyDescent="0.25">
      <c r="D2" s="73"/>
      <c r="N2" s="13" t="s">
        <v>88</v>
      </c>
      <c r="O2" s="13"/>
      <c r="W2" s="1"/>
      <c r="X2" s="1"/>
      <c r="AC2" s="13" t="s">
        <v>13</v>
      </c>
    </row>
    <row r="3" spans="4:38" x14ac:dyDescent="0.25">
      <c r="O3" s="118" t="s">
        <v>118</v>
      </c>
      <c r="P3" s="118" t="s">
        <v>69</v>
      </c>
      <c r="Q3" s="118" t="s">
        <v>68</v>
      </c>
      <c r="R3" s="118" t="s">
        <v>109</v>
      </c>
      <c r="S3" s="118" t="s">
        <v>119</v>
      </c>
      <c r="V3" s="13"/>
      <c r="W3" s="13"/>
      <c r="AC3" t="s">
        <v>14</v>
      </c>
      <c r="AD3" s="1" t="s">
        <v>0</v>
      </c>
      <c r="AE3" s="2" t="s">
        <v>1</v>
      </c>
      <c r="AF3" s="67" t="s">
        <v>16</v>
      </c>
      <c r="AG3" s="67" t="s">
        <v>17</v>
      </c>
      <c r="AH3" s="2"/>
    </row>
    <row r="4" spans="4:38" x14ac:dyDescent="0.25">
      <c r="N4" s="1" t="s">
        <v>0</v>
      </c>
      <c r="O4" s="1" t="s">
        <v>114</v>
      </c>
      <c r="P4" s="44" t="s">
        <v>106</v>
      </c>
      <c r="Q4" s="44" t="s">
        <v>107</v>
      </c>
      <c r="R4" s="44" t="s">
        <v>108</v>
      </c>
      <c r="S4" s="1"/>
      <c r="V4" s="13" t="s">
        <v>147</v>
      </c>
      <c r="AC4" s="5" t="s">
        <v>114</v>
      </c>
      <c r="AD4" s="66" t="s">
        <v>43</v>
      </c>
      <c r="AE4" s="75">
        <v>2.12</v>
      </c>
      <c r="AF4" s="67"/>
      <c r="AG4" s="67"/>
      <c r="AH4" s="67"/>
    </row>
    <row r="5" spans="4:38" ht="15.75" thickBot="1" x14ac:dyDescent="0.3">
      <c r="N5" s="87">
        <f>W6</f>
        <v>0</v>
      </c>
      <c r="O5" s="89">
        <f>Z6</f>
        <v>2.12</v>
      </c>
      <c r="P5" s="89"/>
      <c r="Q5" s="88"/>
      <c r="R5" s="88"/>
      <c r="S5" s="88"/>
      <c r="V5" s="114" t="s">
        <v>14</v>
      </c>
      <c r="W5" s="115" t="s">
        <v>89</v>
      </c>
      <c r="X5" s="115" t="s">
        <v>12</v>
      </c>
      <c r="Y5" s="115" t="s">
        <v>102</v>
      </c>
      <c r="Z5" s="115" t="s">
        <v>1</v>
      </c>
      <c r="AC5" s="5" t="s">
        <v>48</v>
      </c>
      <c r="AD5" s="66" t="s">
        <v>19</v>
      </c>
      <c r="AE5" s="75">
        <v>2.2126600000000001</v>
      </c>
      <c r="AF5" s="68">
        <v>43726</v>
      </c>
      <c r="AG5" s="68">
        <f>AF6</f>
        <v>43768</v>
      </c>
      <c r="AH5" s="67"/>
    </row>
    <row r="6" spans="4:38" x14ac:dyDescent="0.25">
      <c r="N6" s="78">
        <f>W7</f>
        <v>2.1917808219178082E-2</v>
      </c>
      <c r="O6" s="79">
        <f>P6</f>
        <v>2.2126600000000001</v>
      </c>
      <c r="P6" s="79">
        <f>Z7</f>
        <v>2.2126600000000001</v>
      </c>
      <c r="Q6" s="65"/>
      <c r="R6" s="65"/>
      <c r="S6" s="116" t="s">
        <v>67</v>
      </c>
      <c r="V6" s="191" t="s">
        <v>114</v>
      </c>
      <c r="W6" s="194">
        <v>0</v>
      </c>
      <c r="X6" s="248">
        <f t="shared" ref="X6:X17" si="0">Z6</f>
        <v>2.12</v>
      </c>
      <c r="Y6" s="192" t="s">
        <v>64</v>
      </c>
      <c r="Z6" s="193">
        <f>X32</f>
        <v>2.12</v>
      </c>
      <c r="AC6" s="5" t="s">
        <v>48</v>
      </c>
      <c r="AD6" s="66" t="s">
        <v>20</v>
      </c>
      <c r="AE6" s="75">
        <v>1.8598699999999999</v>
      </c>
      <c r="AF6" s="68">
        <v>43768</v>
      </c>
      <c r="AG6" s="68">
        <f>AF7</f>
        <v>43810</v>
      </c>
      <c r="AH6" s="67"/>
    </row>
    <row r="7" spans="4:38" x14ac:dyDescent="0.25">
      <c r="N7" s="80">
        <f t="shared" ref="N7:N28" si="1">N6+0.005</f>
        <v>2.6917808219178083E-2</v>
      </c>
      <c r="O7" s="80"/>
      <c r="P7" s="81">
        <f>$P$6+S7</f>
        <v>2.2126600000000001</v>
      </c>
      <c r="Q7" s="65"/>
      <c r="R7" s="65"/>
      <c r="S7" s="117"/>
      <c r="V7" s="182" t="s">
        <v>48</v>
      </c>
      <c r="W7" s="183">
        <v>2.1917808219178082E-2</v>
      </c>
      <c r="X7" s="247">
        <f t="shared" si="0"/>
        <v>2.2126600000000001</v>
      </c>
      <c r="Y7" s="185" t="s">
        <v>219</v>
      </c>
      <c r="Z7" s="184">
        <f>AE5</f>
        <v>2.2126600000000001</v>
      </c>
      <c r="AC7" s="5" t="s">
        <v>48</v>
      </c>
      <c r="AD7" s="66" t="s">
        <v>21</v>
      </c>
      <c r="AE7" s="75">
        <v>1.5793900000000001</v>
      </c>
      <c r="AF7" s="68">
        <v>43810</v>
      </c>
      <c r="AG7" s="68">
        <v>43494</v>
      </c>
      <c r="AH7" s="67"/>
    </row>
    <row r="8" spans="4:38" x14ac:dyDescent="0.25">
      <c r="N8" s="80">
        <f t="shared" si="1"/>
        <v>3.1917808219178084E-2</v>
      </c>
      <c r="O8" s="80"/>
      <c r="P8" s="81">
        <f>$P$6+S8</f>
        <v>2.2126600000000001</v>
      </c>
      <c r="Q8" s="65"/>
      <c r="R8" s="65"/>
      <c r="S8" s="117"/>
      <c r="V8" s="182" t="s">
        <v>48</v>
      </c>
      <c r="W8" s="183">
        <v>0.13698630136986301</v>
      </c>
      <c r="X8" s="247">
        <f t="shared" si="0"/>
        <v>1.8598699999999999</v>
      </c>
      <c r="Y8" s="185" t="s">
        <v>219</v>
      </c>
      <c r="Z8" s="184">
        <f>AE6</f>
        <v>1.8598699999999999</v>
      </c>
      <c r="AC8" s="5" t="s">
        <v>48</v>
      </c>
      <c r="AD8" s="66" t="s">
        <v>62</v>
      </c>
      <c r="AE8" s="75">
        <v>1.3886000000000001</v>
      </c>
      <c r="AF8" s="68">
        <v>43859</v>
      </c>
      <c r="AG8" s="68">
        <v>43908</v>
      </c>
      <c r="AH8" s="67"/>
    </row>
    <row r="9" spans="4:38" x14ac:dyDescent="0.25">
      <c r="N9" s="80">
        <f t="shared" si="1"/>
        <v>3.6917808219178082E-2</v>
      </c>
      <c r="O9" s="80"/>
      <c r="P9" s="81">
        <f t="shared" ref="P9:P28" si="2">$P$6+S9</f>
        <v>2.2126600000000001</v>
      </c>
      <c r="Q9" s="65"/>
      <c r="R9" s="65"/>
      <c r="S9" s="117"/>
      <c r="V9" s="182" t="s">
        <v>48</v>
      </c>
      <c r="W9" s="183">
        <v>0.25205479452054796</v>
      </c>
      <c r="X9" s="247">
        <f t="shared" si="0"/>
        <v>1.5793900000000001</v>
      </c>
      <c r="Y9" s="185" t="s">
        <v>219</v>
      </c>
      <c r="Z9" s="184">
        <f>AE7</f>
        <v>1.5793900000000001</v>
      </c>
      <c r="AC9" s="5"/>
      <c r="AD9" s="66"/>
      <c r="AE9" s="67"/>
      <c r="AF9" s="67"/>
      <c r="AG9" s="67"/>
      <c r="AH9" s="67"/>
    </row>
    <row r="10" spans="4:38" x14ac:dyDescent="0.25">
      <c r="N10" s="80">
        <f t="shared" si="1"/>
        <v>4.1917808219178079E-2</v>
      </c>
      <c r="O10" s="80"/>
      <c r="P10" s="81">
        <f t="shared" si="2"/>
        <v>2.4126600000000002</v>
      </c>
      <c r="Q10" s="65"/>
      <c r="R10" s="65"/>
      <c r="S10" s="117">
        <v>0.2</v>
      </c>
      <c r="V10" s="182" t="s">
        <v>48</v>
      </c>
      <c r="W10" s="183">
        <v>0.38630136986301372</v>
      </c>
      <c r="X10" s="247">
        <f t="shared" si="0"/>
        <v>1.3886000000000001</v>
      </c>
      <c r="Y10" s="185" t="s">
        <v>219</v>
      </c>
      <c r="Z10" s="184">
        <f>AE8</f>
        <v>1.3886000000000001</v>
      </c>
      <c r="AC10" s="32" t="s">
        <v>15</v>
      </c>
      <c r="AD10" s="66"/>
      <c r="AE10" s="67"/>
      <c r="AF10" s="67"/>
      <c r="AG10" s="67"/>
      <c r="AH10" s="67"/>
    </row>
    <row r="11" spans="4:38" x14ac:dyDescent="0.25">
      <c r="N11" s="80">
        <f t="shared" si="1"/>
        <v>4.6917808219178077E-2</v>
      </c>
      <c r="O11" s="80"/>
      <c r="P11" s="81">
        <f t="shared" si="2"/>
        <v>2.2126600000000001</v>
      </c>
      <c r="Q11" s="65"/>
      <c r="R11" s="65"/>
      <c r="S11" s="117"/>
      <c r="V11" s="186" t="str">
        <f t="shared" ref="V11:V23" si="3">V37</f>
        <v>Future 5</v>
      </c>
      <c r="W11" s="187">
        <v>0.52054794520547942</v>
      </c>
      <c r="X11" s="249">
        <f t="shared" ref="X11:X14" si="4">100-Z11</f>
        <v>98.697479999999999</v>
      </c>
      <c r="Y11" s="189" t="s">
        <v>64</v>
      </c>
      <c r="Z11" s="188">
        <f>AJ12</f>
        <v>1.3025199999999999</v>
      </c>
      <c r="AC11" s="5" t="s">
        <v>14</v>
      </c>
      <c r="AD11" s="66" t="s">
        <v>0</v>
      </c>
      <c r="AE11" s="67" t="s">
        <v>1</v>
      </c>
      <c r="AF11" s="67" t="s">
        <v>16</v>
      </c>
      <c r="AG11" s="67" t="s">
        <v>17</v>
      </c>
      <c r="AH11" s="67" t="s">
        <v>18</v>
      </c>
      <c r="AJ11" s="72" t="s">
        <v>1</v>
      </c>
    </row>
    <row r="12" spans="4:38" x14ac:dyDescent="0.25">
      <c r="N12" s="80">
        <f t="shared" si="1"/>
        <v>5.1917808219178074E-2</v>
      </c>
      <c r="O12" s="80"/>
      <c r="P12" s="81">
        <f t="shared" si="2"/>
        <v>2.2126600000000001</v>
      </c>
      <c r="Q12" s="65"/>
      <c r="R12" s="65"/>
      <c r="S12" s="117"/>
      <c r="V12" s="186" t="str">
        <f t="shared" si="3"/>
        <v>Future 6</v>
      </c>
      <c r="W12" s="187">
        <v>0.76986301369863008</v>
      </c>
      <c r="X12" s="249">
        <f t="shared" si="4"/>
        <v>98.793850000000006</v>
      </c>
      <c r="Y12" s="189" t="s">
        <v>64</v>
      </c>
      <c r="Z12" s="188">
        <f>AJ13</f>
        <v>1.2061500000000001</v>
      </c>
      <c r="AC12" s="5" t="s">
        <v>46</v>
      </c>
      <c r="AD12" s="66" t="s">
        <v>22</v>
      </c>
      <c r="AE12" s="70">
        <v>98.71</v>
      </c>
      <c r="AF12" s="68">
        <v>43908</v>
      </c>
      <c r="AG12" s="68">
        <v>43999</v>
      </c>
      <c r="AH12" s="67">
        <v>-2.2699999999999999E-3</v>
      </c>
      <c r="AI12" s="14"/>
      <c r="AJ12" s="73">
        <v>1.3025199999999999</v>
      </c>
    </row>
    <row r="13" spans="4:38" x14ac:dyDescent="0.25">
      <c r="N13" s="80">
        <f t="shared" si="1"/>
        <v>5.6917808219178072E-2</v>
      </c>
      <c r="O13" s="80"/>
      <c r="P13" s="81">
        <f t="shared" si="2"/>
        <v>2.2126600000000001</v>
      </c>
      <c r="Q13" s="65"/>
      <c r="R13" s="65"/>
      <c r="S13" s="117"/>
      <c r="V13" s="186" t="str">
        <f t="shared" si="3"/>
        <v>Future 7</v>
      </c>
      <c r="W13" s="187">
        <v>1.0191780821917809</v>
      </c>
      <c r="X13" s="249">
        <f t="shared" si="4"/>
        <v>98.840500000000006</v>
      </c>
      <c r="Y13" s="189" t="s">
        <v>64</v>
      </c>
      <c r="Z13" s="188">
        <f>AJ14</f>
        <v>1.1595</v>
      </c>
      <c r="AC13" s="5" t="s">
        <v>49</v>
      </c>
      <c r="AD13" s="66" t="s">
        <v>23</v>
      </c>
      <c r="AE13" s="70">
        <v>98.795000000000002</v>
      </c>
      <c r="AF13" s="68">
        <v>43999</v>
      </c>
      <c r="AG13" s="68">
        <v>44090</v>
      </c>
      <c r="AH13" s="67">
        <v>-3.5100000000000001E-3</v>
      </c>
      <c r="AJ13" s="73">
        <v>1.2061500000000001</v>
      </c>
    </row>
    <row r="14" spans="4:38" x14ac:dyDescent="0.25">
      <c r="N14" s="80">
        <f t="shared" si="1"/>
        <v>6.1917808219178069E-2</v>
      </c>
      <c r="O14" s="80"/>
      <c r="P14" s="81">
        <f t="shared" si="2"/>
        <v>2.2126600000000001</v>
      </c>
      <c r="Q14" s="65"/>
      <c r="R14" s="65"/>
      <c r="S14" s="117"/>
      <c r="V14" s="186" t="str">
        <f t="shared" si="3"/>
        <v>Future 8</v>
      </c>
      <c r="W14" s="187">
        <v>1.2684931506849315</v>
      </c>
      <c r="X14" s="249">
        <f t="shared" si="4"/>
        <v>98.816770000000005</v>
      </c>
      <c r="Y14" s="189" t="s">
        <v>64</v>
      </c>
      <c r="Z14" s="188">
        <f>AJ15</f>
        <v>1.1832299999999978</v>
      </c>
      <c r="AC14" s="5" t="s">
        <v>50</v>
      </c>
      <c r="AD14" s="66" t="s">
        <v>24</v>
      </c>
      <c r="AE14" s="70">
        <v>98.834999999999994</v>
      </c>
      <c r="AF14" s="68">
        <v>44090</v>
      </c>
      <c r="AG14" s="68">
        <v>44181</v>
      </c>
      <c r="AH14" s="67">
        <v>-5.0200000000000002E-3</v>
      </c>
      <c r="AJ14" s="73">
        <v>1.1595</v>
      </c>
    </row>
    <row r="15" spans="4:38" x14ac:dyDescent="0.25">
      <c r="N15" s="80">
        <f t="shared" si="1"/>
        <v>6.6917808219178074E-2</v>
      </c>
      <c r="O15" s="80"/>
      <c r="P15" s="81">
        <f t="shared" si="2"/>
        <v>2.2126600000000001</v>
      </c>
      <c r="Q15" s="65"/>
      <c r="R15" s="65"/>
      <c r="S15" s="117"/>
      <c r="V15" s="191" t="str">
        <f t="shared" si="3"/>
        <v xml:space="preserve">SOFR Swap </v>
      </c>
      <c r="W15" s="192">
        <v>3</v>
      </c>
      <c r="X15" s="248">
        <f t="shared" si="0"/>
        <v>1.22559</v>
      </c>
      <c r="Y15" s="192" t="s">
        <v>65</v>
      </c>
      <c r="Z15" s="193">
        <f t="shared" ref="Z15:Z23" si="5">X41</f>
        <v>1.22559</v>
      </c>
      <c r="AC15" s="5" t="s">
        <v>51</v>
      </c>
      <c r="AD15" s="66" t="s">
        <v>25</v>
      </c>
      <c r="AE15" s="70">
        <v>98.81</v>
      </c>
      <c r="AF15" s="68">
        <v>44181</v>
      </c>
      <c r="AG15" s="68">
        <v>44272</v>
      </c>
      <c r="AH15" s="67">
        <v>-6.77E-3</v>
      </c>
      <c r="AJ15" s="73">
        <v>1.1832299999999978</v>
      </c>
    </row>
    <row r="16" spans="4:38" x14ac:dyDescent="0.25">
      <c r="N16" s="80">
        <f t="shared" si="1"/>
        <v>7.1917808219178078E-2</v>
      </c>
      <c r="O16" s="80"/>
      <c r="P16" s="81">
        <f t="shared" si="2"/>
        <v>2.2126600000000001</v>
      </c>
      <c r="Q16" s="65"/>
      <c r="R16" s="65"/>
      <c r="S16" s="117"/>
      <c r="V16" s="191" t="str">
        <f t="shared" si="3"/>
        <v xml:space="preserve">SOFR Swap </v>
      </c>
      <c r="W16" s="192">
        <v>5</v>
      </c>
      <c r="X16" s="248">
        <f t="shared" si="0"/>
        <v>1.20502</v>
      </c>
      <c r="Y16" s="192" t="s">
        <v>65</v>
      </c>
      <c r="Z16" s="193">
        <f t="shared" si="5"/>
        <v>1.20502</v>
      </c>
      <c r="AC16" s="5"/>
      <c r="AD16" s="66"/>
      <c r="AE16" s="70"/>
      <c r="AF16" s="67"/>
      <c r="AG16" s="67"/>
      <c r="AH16" s="67"/>
    </row>
    <row r="17" spans="14:36" x14ac:dyDescent="0.25">
      <c r="N17" s="80">
        <f t="shared" si="1"/>
        <v>7.6917808219178083E-2</v>
      </c>
      <c r="O17" s="80"/>
      <c r="P17" s="81">
        <f t="shared" si="2"/>
        <v>2.2126600000000001</v>
      </c>
      <c r="Q17" s="65"/>
      <c r="R17" s="65"/>
      <c r="S17" s="117"/>
      <c r="V17" s="191" t="str">
        <f t="shared" si="3"/>
        <v xml:space="preserve">SOFR Swap </v>
      </c>
      <c r="W17" s="192">
        <v>7</v>
      </c>
      <c r="X17" s="248">
        <f t="shared" si="0"/>
        <v>1.23028</v>
      </c>
      <c r="Y17" s="192" t="s">
        <v>65</v>
      </c>
      <c r="Z17" s="193">
        <f t="shared" si="5"/>
        <v>1.23028</v>
      </c>
      <c r="AC17" s="32" t="s">
        <v>26</v>
      </c>
      <c r="AD17" s="66"/>
      <c r="AE17" s="67"/>
      <c r="AF17" s="67"/>
      <c r="AG17" s="67"/>
      <c r="AH17" s="67"/>
    </row>
    <row r="18" spans="14:36" x14ac:dyDescent="0.25">
      <c r="N18" s="80">
        <f t="shared" si="1"/>
        <v>8.1917808219178087E-2</v>
      </c>
      <c r="O18" s="80"/>
      <c r="P18" s="81">
        <f t="shared" si="2"/>
        <v>2.2126600000000001</v>
      </c>
      <c r="Q18" s="65"/>
      <c r="R18" s="65"/>
      <c r="S18" s="117"/>
      <c r="V18" s="250" t="str">
        <f t="shared" si="3"/>
        <v>SOFR-OIS Basis Swap</v>
      </c>
      <c r="W18" s="251">
        <v>10</v>
      </c>
      <c r="X18" s="252">
        <f>'USD SOFR BASIC vs ADVANCED'!$R$11*'USD SOFR BASIC vs ADVANCED'!R15</f>
        <v>1.0000000000000002E-2</v>
      </c>
      <c r="Y18" s="251" t="s">
        <v>65</v>
      </c>
      <c r="Z18" s="253">
        <f t="shared" si="5"/>
        <v>1.29071</v>
      </c>
      <c r="AC18" s="34" t="s">
        <v>14</v>
      </c>
      <c r="AD18" s="35" t="s">
        <v>0</v>
      </c>
      <c r="AE18" s="36" t="s">
        <v>1</v>
      </c>
      <c r="AF18" s="43" t="s">
        <v>44</v>
      </c>
      <c r="AG18" s="67"/>
      <c r="AH18" s="67"/>
    </row>
    <row r="19" spans="14:36" x14ac:dyDescent="0.25">
      <c r="N19" s="80">
        <f t="shared" si="1"/>
        <v>8.6917808219178092E-2</v>
      </c>
      <c r="O19" s="80"/>
      <c r="P19" s="81">
        <f t="shared" si="2"/>
        <v>2.2126600000000001</v>
      </c>
      <c r="Q19" s="65"/>
      <c r="R19" s="65"/>
      <c r="S19" s="117"/>
      <c r="V19" s="250" t="str">
        <f t="shared" si="3"/>
        <v>SOFR-OIS Basis Swap</v>
      </c>
      <c r="W19" s="251">
        <v>15</v>
      </c>
      <c r="X19" s="252">
        <f>'USD SOFR BASIC vs ADVANCED'!$R$11*'USD SOFR BASIC vs ADVANCED'!R16</f>
        <v>2.5000000000000001E-2</v>
      </c>
      <c r="Y19" s="251" t="s">
        <v>65</v>
      </c>
      <c r="Z19" s="253">
        <f t="shared" si="5"/>
        <v>1.36849</v>
      </c>
      <c r="AC19" s="5" t="s">
        <v>52</v>
      </c>
      <c r="AD19" s="66" t="s">
        <v>117</v>
      </c>
      <c r="AE19" s="75">
        <v>1.22559</v>
      </c>
      <c r="AF19" s="69" t="s">
        <v>40</v>
      </c>
      <c r="AG19" s="67"/>
      <c r="AH19" s="67"/>
    </row>
    <row r="20" spans="14:36" x14ac:dyDescent="0.25">
      <c r="N20" s="80">
        <f t="shared" si="1"/>
        <v>9.1917808219178096E-2</v>
      </c>
      <c r="O20" s="80"/>
      <c r="P20" s="81">
        <f t="shared" si="2"/>
        <v>2.2126600000000001</v>
      </c>
      <c r="Q20" s="65"/>
      <c r="R20" s="65"/>
      <c r="S20" s="117"/>
      <c r="V20" s="250" t="str">
        <f t="shared" si="3"/>
        <v>SOFR-OIS Basis Swap</v>
      </c>
      <c r="W20" s="251">
        <v>20</v>
      </c>
      <c r="X20" s="252">
        <f>'USD SOFR BASIC vs ADVANCED'!$R$11*'USD SOFR BASIC vs ADVANCED'!R17</f>
        <v>0.05</v>
      </c>
      <c r="Y20" s="251" t="s">
        <v>65</v>
      </c>
      <c r="Z20" s="253">
        <f t="shared" si="5"/>
        <v>1.4110199999999999</v>
      </c>
      <c r="AC20" s="5" t="s">
        <v>52</v>
      </c>
      <c r="AD20" s="66" t="s">
        <v>4</v>
      </c>
      <c r="AE20" s="75">
        <v>1.20502</v>
      </c>
      <c r="AF20" s="71" t="s">
        <v>40</v>
      </c>
      <c r="AG20" s="67"/>
      <c r="AH20" s="67"/>
    </row>
    <row r="21" spans="14:36" x14ac:dyDescent="0.25">
      <c r="N21" s="80">
        <f t="shared" si="1"/>
        <v>9.69178082191781E-2</v>
      </c>
      <c r="O21" s="80"/>
      <c r="P21" s="81">
        <f t="shared" si="2"/>
        <v>2.2126600000000001</v>
      </c>
      <c r="Q21" s="65"/>
      <c r="R21" s="65"/>
      <c r="S21" s="117"/>
      <c r="V21" s="254" t="str">
        <f t="shared" si="3"/>
        <v>SOFR-LIBOR Basis Swap</v>
      </c>
      <c r="W21" s="255">
        <v>30</v>
      </c>
      <c r="X21" s="256">
        <f>'USD SOFR BASIC vs ADVANCED'!$R$11*'USD SOFR BASIC vs ADVANCED'!R18</f>
        <v>7.5000000000000011E-2</v>
      </c>
      <c r="Y21" s="255" t="s">
        <v>65</v>
      </c>
      <c r="Z21" s="257">
        <f t="shared" si="5"/>
        <v>1.4213499999999999</v>
      </c>
      <c r="AC21" s="5" t="s">
        <v>52</v>
      </c>
      <c r="AD21" s="66" t="s">
        <v>28</v>
      </c>
      <c r="AE21" s="75">
        <v>1.23028</v>
      </c>
      <c r="AF21" s="71" t="s">
        <v>40</v>
      </c>
      <c r="AG21" s="67"/>
      <c r="AI21" s="1" t="s">
        <v>0</v>
      </c>
      <c r="AJ21" s="66" t="s">
        <v>45</v>
      </c>
    </row>
    <row r="22" spans="14:36" x14ac:dyDescent="0.25">
      <c r="N22" s="80">
        <f t="shared" si="1"/>
        <v>0.1019178082191781</v>
      </c>
      <c r="O22" s="80"/>
      <c r="P22" s="81">
        <f t="shared" si="2"/>
        <v>2.2126600000000001</v>
      </c>
      <c r="Q22" s="65"/>
      <c r="R22" s="65"/>
      <c r="S22" s="117"/>
      <c r="V22" s="254" t="str">
        <f t="shared" si="3"/>
        <v>SOFR-LIBOR Basis Swap</v>
      </c>
      <c r="W22" s="255">
        <v>40</v>
      </c>
      <c r="X22" s="256">
        <f>'USD SOFR BASIC vs ADVANCED'!$R$11*'USD SOFR BASIC vs ADVANCED'!R19</f>
        <v>8.0000000000000016E-2</v>
      </c>
      <c r="Y22" s="255" t="s">
        <v>65</v>
      </c>
      <c r="Z22" s="257">
        <f t="shared" si="5"/>
        <v>1.40063</v>
      </c>
      <c r="AC22" s="5" t="s">
        <v>53</v>
      </c>
      <c r="AD22" s="66" t="s">
        <v>5</v>
      </c>
      <c r="AE22" s="75">
        <v>1.2715399999999999</v>
      </c>
      <c r="AF22" s="69" t="s">
        <v>41</v>
      </c>
      <c r="AG22" s="67"/>
      <c r="AI22" s="66" t="s">
        <v>5</v>
      </c>
      <c r="AJ22" s="66">
        <v>1.29071</v>
      </c>
    </row>
    <row r="23" spans="14:36" x14ac:dyDescent="0.25">
      <c r="N23" s="80">
        <f t="shared" si="1"/>
        <v>0.10691780821917811</v>
      </c>
      <c r="O23" s="80"/>
      <c r="P23" s="81">
        <f t="shared" si="2"/>
        <v>2.2126600000000001</v>
      </c>
      <c r="Q23" s="65"/>
      <c r="R23" s="65"/>
      <c r="S23" s="117"/>
      <c r="V23" s="254" t="str">
        <f t="shared" si="3"/>
        <v>SOFR-LIBOR Basis Swap</v>
      </c>
      <c r="W23" s="255">
        <v>50</v>
      </c>
      <c r="X23" s="256">
        <f>'USD SOFR BASIC vs ADVANCED'!$R$11*'USD SOFR BASIC vs ADVANCED'!R20</f>
        <v>0.1</v>
      </c>
      <c r="Y23" s="255" t="s">
        <v>65</v>
      </c>
      <c r="Z23" s="257">
        <f t="shared" si="5"/>
        <v>1.36656</v>
      </c>
      <c r="AC23" s="5" t="s">
        <v>53</v>
      </c>
      <c r="AD23" s="66" t="s">
        <v>7</v>
      </c>
      <c r="AE23" s="75">
        <v>1.3646799999999999</v>
      </c>
      <c r="AF23" s="71" t="s">
        <v>41</v>
      </c>
      <c r="AG23" s="67"/>
      <c r="AI23" s="66" t="s">
        <v>7</v>
      </c>
      <c r="AJ23" s="66">
        <v>1.36849</v>
      </c>
    </row>
    <row r="24" spans="14:36" x14ac:dyDescent="0.25">
      <c r="N24" s="80">
        <f t="shared" si="1"/>
        <v>0.11191780821917811</v>
      </c>
      <c r="O24" s="80"/>
      <c r="P24" s="81">
        <f t="shared" si="2"/>
        <v>2.2126600000000001</v>
      </c>
      <c r="Q24" s="65"/>
      <c r="R24" s="65"/>
      <c r="S24" s="117"/>
      <c r="W24" s="1"/>
      <c r="X24" s="1"/>
      <c r="AC24" s="5" t="s">
        <v>53</v>
      </c>
      <c r="AD24" s="66" t="s">
        <v>8</v>
      </c>
      <c r="AE24" s="75">
        <v>1.4194500000000001</v>
      </c>
      <c r="AF24" s="71" t="s">
        <v>41</v>
      </c>
      <c r="AG24" s="67"/>
      <c r="AI24" s="66" t="s">
        <v>8</v>
      </c>
      <c r="AJ24" s="66">
        <v>1.4110199999999999</v>
      </c>
    </row>
    <row r="25" spans="14:36" x14ac:dyDescent="0.25">
      <c r="N25" s="80">
        <f t="shared" si="1"/>
        <v>0.11691780821917812</v>
      </c>
      <c r="O25" s="80"/>
      <c r="P25" s="81">
        <f t="shared" si="2"/>
        <v>2.2126600000000001</v>
      </c>
      <c r="Q25" s="65"/>
      <c r="R25" s="65"/>
      <c r="S25" s="117"/>
      <c r="AC25" s="5" t="s">
        <v>54</v>
      </c>
      <c r="AD25" s="66" t="s">
        <v>5</v>
      </c>
      <c r="AE25" s="74">
        <f>(AJ22-AE22)*100</f>
        <v>1.9170000000000131</v>
      </c>
      <c r="AF25" s="71" t="s">
        <v>41</v>
      </c>
      <c r="AG25" s="67"/>
      <c r="AI25" s="1"/>
      <c r="AJ25" s="66"/>
    </row>
    <row r="26" spans="14:36" x14ac:dyDescent="0.25">
      <c r="N26" s="80">
        <f t="shared" si="1"/>
        <v>0.12191780821917812</v>
      </c>
      <c r="O26" s="80"/>
      <c r="P26" s="81">
        <f t="shared" si="2"/>
        <v>2.2126600000000001</v>
      </c>
      <c r="Q26" s="65"/>
      <c r="R26" s="65"/>
      <c r="S26" s="117"/>
      <c r="AC26" s="5" t="s">
        <v>54</v>
      </c>
      <c r="AD26" s="66" t="s">
        <v>7</v>
      </c>
      <c r="AE26" s="74">
        <f>(AJ23-AE23)*100</f>
        <v>0.38100000000000911</v>
      </c>
      <c r="AF26" s="71" t="s">
        <v>41</v>
      </c>
      <c r="AG26" s="67"/>
      <c r="AI26" s="1"/>
      <c r="AJ26" s="66"/>
    </row>
    <row r="27" spans="14:36" x14ac:dyDescent="0.25">
      <c r="N27" s="80">
        <f t="shared" si="1"/>
        <v>0.12691780821917811</v>
      </c>
      <c r="O27" s="80"/>
      <c r="P27" s="81">
        <f t="shared" si="2"/>
        <v>2.36266</v>
      </c>
      <c r="Q27" s="65"/>
      <c r="R27" s="65"/>
      <c r="S27" s="117">
        <v>0.15</v>
      </c>
      <c r="AC27" s="5" t="s">
        <v>54</v>
      </c>
      <c r="AD27" s="66" t="s">
        <v>8</v>
      </c>
      <c r="AE27" s="74">
        <f>(AJ24-AE24)*100</f>
        <v>-0.84300000000001596</v>
      </c>
      <c r="AF27" s="71" t="s">
        <v>41</v>
      </c>
      <c r="AG27" s="67"/>
      <c r="AI27" s="76" t="s">
        <v>0</v>
      </c>
      <c r="AJ27" s="66" t="s">
        <v>45</v>
      </c>
    </row>
    <row r="28" spans="14:36" x14ac:dyDescent="0.25">
      <c r="N28" s="80">
        <f t="shared" si="1"/>
        <v>0.13191780821917812</v>
      </c>
      <c r="O28" s="80"/>
      <c r="P28" s="81">
        <f t="shared" si="2"/>
        <v>2.2126600000000001</v>
      </c>
      <c r="Q28" s="65"/>
      <c r="R28" s="65"/>
      <c r="S28" s="117"/>
      <c r="AC28" s="5" t="s">
        <v>55</v>
      </c>
      <c r="AD28" s="66" t="s">
        <v>9</v>
      </c>
      <c r="AE28" s="75">
        <v>1.7179599999999999</v>
      </c>
      <c r="AF28" s="69" t="s">
        <v>42</v>
      </c>
      <c r="AG28" s="67"/>
      <c r="AI28" s="66" t="s">
        <v>9</v>
      </c>
      <c r="AJ28" s="66">
        <v>1.4213499999999999</v>
      </c>
    </row>
    <row r="29" spans="14:36" x14ac:dyDescent="0.25">
      <c r="N29" s="78">
        <f>W8</f>
        <v>0.13698630136986301</v>
      </c>
      <c r="O29" s="78"/>
      <c r="P29" s="79">
        <f>Z8</f>
        <v>1.8598699999999999</v>
      </c>
      <c r="Q29" s="65"/>
      <c r="R29" s="65"/>
      <c r="S29" s="116"/>
      <c r="V29" s="13" t="s">
        <v>90</v>
      </c>
      <c r="AC29" s="5" t="s">
        <v>55</v>
      </c>
      <c r="AD29" s="66" t="s">
        <v>38</v>
      </c>
      <c r="AE29" s="75">
        <v>1.6973100000000001</v>
      </c>
      <c r="AF29" s="71" t="s">
        <v>42</v>
      </c>
      <c r="AG29" s="67"/>
      <c r="AI29" s="66" t="s">
        <v>38</v>
      </c>
      <c r="AJ29" s="66">
        <v>1.40063</v>
      </c>
    </row>
    <row r="30" spans="14:36" x14ac:dyDescent="0.25">
      <c r="N30" s="80">
        <f t="shared" ref="N30:N49" si="6">N29+0.005</f>
        <v>0.14198630136986301</v>
      </c>
      <c r="O30" s="80"/>
      <c r="P30" s="81">
        <f t="shared" ref="P30:P49" si="7">$P$29+S30</f>
        <v>2.0598700000000001</v>
      </c>
      <c r="Q30" s="65"/>
      <c r="R30" s="65"/>
      <c r="S30" s="117">
        <v>0.2</v>
      </c>
      <c r="AC30" s="5" t="s">
        <v>55</v>
      </c>
      <c r="AD30" s="66" t="s">
        <v>39</v>
      </c>
      <c r="AE30" s="75">
        <v>1.6608000000000001</v>
      </c>
      <c r="AF30" s="71" t="s">
        <v>42</v>
      </c>
      <c r="AG30" s="67"/>
      <c r="AI30" s="66" t="s">
        <v>39</v>
      </c>
      <c r="AJ30" s="66">
        <v>1.36656</v>
      </c>
    </row>
    <row r="31" spans="14:36" x14ac:dyDescent="0.25">
      <c r="N31" s="80">
        <f t="shared" si="6"/>
        <v>0.14698630136986301</v>
      </c>
      <c r="O31" s="80"/>
      <c r="P31" s="81">
        <f t="shared" si="7"/>
        <v>1.8598699999999999</v>
      </c>
      <c r="Q31" s="65"/>
      <c r="R31" s="65"/>
      <c r="S31" s="117"/>
      <c r="V31" t="s">
        <v>14</v>
      </c>
      <c r="W31" s="1" t="s">
        <v>0</v>
      </c>
      <c r="X31" s="1" t="s">
        <v>1</v>
      </c>
      <c r="AC31" s="5" t="s">
        <v>56</v>
      </c>
      <c r="AD31" s="66" t="s">
        <v>9</v>
      </c>
      <c r="AE31" s="74">
        <f>(AJ28-AE28)*100</f>
        <v>-29.661000000000005</v>
      </c>
      <c r="AF31" s="71" t="s">
        <v>42</v>
      </c>
      <c r="AG31" s="67"/>
      <c r="AH31" s="67"/>
    </row>
    <row r="32" spans="14:36" x14ac:dyDescent="0.25">
      <c r="N32" s="80">
        <f t="shared" si="6"/>
        <v>0.15198630136986302</v>
      </c>
      <c r="O32" s="80"/>
      <c r="P32" s="81">
        <f t="shared" si="7"/>
        <v>1.8598699999999999</v>
      </c>
      <c r="Q32" s="65"/>
      <c r="R32" s="65"/>
      <c r="S32" s="117"/>
      <c r="V32" t="s">
        <v>114</v>
      </c>
      <c r="W32" s="1" t="str">
        <f t="shared" ref="W32:X36" si="8">AD4</f>
        <v>1D</v>
      </c>
      <c r="X32" s="73">
        <f t="shared" si="8"/>
        <v>2.12</v>
      </c>
      <c r="AC32" s="5" t="s">
        <v>56</v>
      </c>
      <c r="AD32" s="66" t="s">
        <v>38</v>
      </c>
      <c r="AE32" s="74">
        <f>(AJ29-AE29)*100</f>
        <v>-29.668000000000006</v>
      </c>
      <c r="AF32" s="71" t="s">
        <v>42</v>
      </c>
      <c r="AG32" s="67"/>
      <c r="AH32" s="67"/>
    </row>
    <row r="33" spans="14:34" x14ac:dyDescent="0.25">
      <c r="N33" s="80">
        <f t="shared" si="6"/>
        <v>0.15698630136986302</v>
      </c>
      <c r="O33" s="80"/>
      <c r="P33" s="81">
        <f t="shared" si="7"/>
        <v>1.8598699999999999</v>
      </c>
      <c r="Q33" s="65"/>
      <c r="R33" s="65"/>
      <c r="S33" s="117"/>
      <c r="V33" t="s">
        <v>48</v>
      </c>
      <c r="W33" s="1" t="str">
        <f t="shared" si="8"/>
        <v>MPC1</v>
      </c>
      <c r="X33" s="73">
        <f t="shared" si="8"/>
        <v>2.2126600000000001</v>
      </c>
      <c r="AC33" s="5" t="s">
        <v>56</v>
      </c>
      <c r="AD33" s="66" t="s">
        <v>39</v>
      </c>
      <c r="AE33" s="74">
        <f>(AJ30-AE30)*100</f>
        <v>-29.424000000000007</v>
      </c>
      <c r="AF33" s="71" t="s">
        <v>42</v>
      </c>
      <c r="AG33" s="67"/>
      <c r="AH33" s="67"/>
    </row>
    <row r="34" spans="14:34" x14ac:dyDescent="0.25">
      <c r="N34" s="80">
        <f t="shared" si="6"/>
        <v>0.16198630136986303</v>
      </c>
      <c r="O34" s="80"/>
      <c r="P34" s="81">
        <f t="shared" si="7"/>
        <v>1.8598699999999999</v>
      </c>
      <c r="Q34" s="65"/>
      <c r="R34" s="65"/>
      <c r="S34" s="117"/>
      <c r="V34" t="s">
        <v>48</v>
      </c>
      <c r="W34" s="1" t="str">
        <f t="shared" si="8"/>
        <v>MPC2</v>
      </c>
      <c r="X34" s="73">
        <f t="shared" si="8"/>
        <v>1.8598699999999999</v>
      </c>
    </row>
    <row r="35" spans="14:34" x14ac:dyDescent="0.25">
      <c r="N35" s="80">
        <f t="shared" si="6"/>
        <v>0.16698630136986303</v>
      </c>
      <c r="O35" s="80"/>
      <c r="P35" s="81">
        <f t="shared" si="7"/>
        <v>1.8598699999999999</v>
      </c>
      <c r="Q35" s="65"/>
      <c r="R35" s="65"/>
      <c r="S35" s="117"/>
      <c r="V35" t="s">
        <v>48</v>
      </c>
      <c r="W35" s="1" t="str">
        <f t="shared" si="8"/>
        <v>MPC3</v>
      </c>
      <c r="X35" s="73">
        <f t="shared" si="8"/>
        <v>1.5793900000000001</v>
      </c>
    </row>
    <row r="36" spans="14:34" x14ac:dyDescent="0.25">
      <c r="N36" s="80">
        <f t="shared" si="6"/>
        <v>0.17198630136986304</v>
      </c>
      <c r="O36" s="80"/>
      <c r="P36" s="81">
        <f t="shared" si="7"/>
        <v>1.8598699999999999</v>
      </c>
      <c r="Q36" s="65"/>
      <c r="R36" s="65"/>
      <c r="S36" s="117"/>
      <c r="V36" t="s">
        <v>48</v>
      </c>
      <c r="W36" s="1" t="str">
        <f t="shared" si="8"/>
        <v>MPC4</v>
      </c>
      <c r="X36" s="73">
        <f t="shared" si="8"/>
        <v>1.3886000000000001</v>
      </c>
    </row>
    <row r="37" spans="14:34" x14ac:dyDescent="0.25">
      <c r="N37" s="80">
        <f t="shared" si="6"/>
        <v>0.17698630136986304</v>
      </c>
      <c r="O37" s="80"/>
      <c r="P37" s="81">
        <f t="shared" si="7"/>
        <v>1.8598699999999999</v>
      </c>
      <c r="Q37" s="65"/>
      <c r="R37" s="65"/>
      <c r="S37" s="117"/>
      <c r="V37" t="str">
        <f t="shared" ref="V37:W40" si="9">AC12</f>
        <v>Future 5</v>
      </c>
      <c r="W37" s="1" t="str">
        <f t="shared" si="9"/>
        <v>M0</v>
      </c>
      <c r="X37" s="73">
        <f>AJ12</f>
        <v>1.3025199999999999</v>
      </c>
    </row>
    <row r="38" spans="14:34" x14ac:dyDescent="0.25">
      <c r="N38" s="80">
        <f t="shared" si="6"/>
        <v>0.18198630136986305</v>
      </c>
      <c r="O38" s="80"/>
      <c r="P38" s="81">
        <f t="shared" si="7"/>
        <v>1.8598699999999999</v>
      </c>
      <c r="Q38" s="65"/>
      <c r="R38" s="65"/>
      <c r="S38" s="117"/>
      <c r="V38" t="str">
        <f t="shared" si="9"/>
        <v>Future 6</v>
      </c>
      <c r="W38" s="1" t="str">
        <f t="shared" si="9"/>
        <v>U0</v>
      </c>
      <c r="X38" s="73">
        <f>AJ13</f>
        <v>1.2061500000000001</v>
      </c>
    </row>
    <row r="39" spans="14:34" x14ac:dyDescent="0.25">
      <c r="N39" s="80">
        <f t="shared" si="6"/>
        <v>0.18698630136986305</v>
      </c>
      <c r="O39" s="80"/>
      <c r="P39" s="81">
        <f t="shared" si="7"/>
        <v>1.8598699999999999</v>
      </c>
      <c r="Q39" s="65"/>
      <c r="R39" s="65"/>
      <c r="S39" s="117"/>
      <c r="V39" t="str">
        <f t="shared" si="9"/>
        <v>Future 7</v>
      </c>
      <c r="W39" s="1" t="str">
        <f t="shared" si="9"/>
        <v>Z0</v>
      </c>
      <c r="X39" s="73">
        <f>AJ14</f>
        <v>1.1595</v>
      </c>
    </row>
    <row r="40" spans="14:34" x14ac:dyDescent="0.25">
      <c r="N40" s="80">
        <f t="shared" si="6"/>
        <v>0.19198630136986305</v>
      </c>
      <c r="O40" s="80"/>
      <c r="P40" s="81">
        <f t="shared" si="7"/>
        <v>2.1098699999999999</v>
      </c>
      <c r="Q40" s="65"/>
      <c r="R40" s="65"/>
      <c r="S40" s="117">
        <v>0.25</v>
      </c>
      <c r="V40" t="str">
        <f t="shared" si="9"/>
        <v>Future 8</v>
      </c>
      <c r="W40" s="1" t="str">
        <f t="shared" si="9"/>
        <v>H1</v>
      </c>
      <c r="X40" s="73">
        <f>AJ15</f>
        <v>1.1832299999999978</v>
      </c>
    </row>
    <row r="41" spans="14:34" x14ac:dyDescent="0.25">
      <c r="N41" s="80">
        <f t="shared" si="6"/>
        <v>0.19698630136986306</v>
      </c>
      <c r="O41" s="80"/>
      <c r="P41" s="81">
        <f t="shared" si="7"/>
        <v>1.8598699999999999</v>
      </c>
      <c r="Q41" s="65"/>
      <c r="R41" s="65"/>
      <c r="S41" s="117"/>
      <c r="V41" t="str">
        <f>AC19</f>
        <v xml:space="preserve">SOFR Swap </v>
      </c>
      <c r="W41" s="1" t="s">
        <v>117</v>
      </c>
      <c r="X41" s="73">
        <f>AE19</f>
        <v>1.22559</v>
      </c>
    </row>
    <row r="42" spans="14:34" x14ac:dyDescent="0.25">
      <c r="N42" s="80">
        <f t="shared" si="6"/>
        <v>0.20198630136986306</v>
      </c>
      <c r="O42" s="80"/>
      <c r="P42" s="81">
        <f t="shared" si="7"/>
        <v>1.8598699999999999</v>
      </c>
      <c r="Q42" s="65"/>
      <c r="R42" s="65"/>
      <c r="S42" s="117"/>
      <c r="V42" t="str">
        <f>AC20</f>
        <v xml:space="preserve">SOFR Swap </v>
      </c>
      <c r="W42" s="1" t="str">
        <f>AD20</f>
        <v>5Y</v>
      </c>
      <c r="X42" s="73">
        <f>AE20</f>
        <v>1.20502</v>
      </c>
    </row>
    <row r="43" spans="14:34" x14ac:dyDescent="0.25">
      <c r="N43" s="80">
        <f t="shared" si="6"/>
        <v>0.20698630136986307</v>
      </c>
      <c r="O43" s="80"/>
      <c r="P43" s="81">
        <f t="shared" si="7"/>
        <v>1.8598699999999999</v>
      </c>
      <c r="Q43" s="65"/>
      <c r="R43" s="65"/>
      <c r="S43" s="117"/>
      <c r="V43" t="str">
        <f>AC21</f>
        <v xml:space="preserve">SOFR Swap </v>
      </c>
      <c r="W43" s="1" t="str">
        <f>AD21</f>
        <v>7Y</v>
      </c>
      <c r="X43" s="73">
        <f>AE21</f>
        <v>1.23028</v>
      </c>
    </row>
    <row r="44" spans="14:34" x14ac:dyDescent="0.25">
      <c r="N44" s="80">
        <f t="shared" si="6"/>
        <v>0.21198630136986307</v>
      </c>
      <c r="O44" s="80"/>
      <c r="P44" s="81">
        <f t="shared" si="7"/>
        <v>1.8598699999999999</v>
      </c>
      <c r="Q44" s="65"/>
      <c r="R44" s="65"/>
      <c r="S44" s="117"/>
      <c r="V44" t="str">
        <f>AC25</f>
        <v>SOFR-OIS Basis Swap</v>
      </c>
      <c r="W44" s="1" t="str">
        <f>AD22</f>
        <v>10Y</v>
      </c>
      <c r="X44" s="73">
        <f>AE22+AE25/100</f>
        <v>1.29071</v>
      </c>
    </row>
    <row r="45" spans="14:34" x14ac:dyDescent="0.25">
      <c r="N45" s="80">
        <f t="shared" si="6"/>
        <v>0.21698630136986308</v>
      </c>
      <c r="O45" s="80"/>
      <c r="P45" s="81">
        <f t="shared" si="7"/>
        <v>1.8598699999999999</v>
      </c>
      <c r="Q45" s="65"/>
      <c r="R45" s="65"/>
      <c r="S45" s="117"/>
      <c r="V45" t="str">
        <f>AC26</f>
        <v>SOFR-OIS Basis Swap</v>
      </c>
      <c r="W45" s="1" t="str">
        <f>AD23</f>
        <v>15Y</v>
      </c>
      <c r="X45" s="73">
        <f>AE23+AE26/100</f>
        <v>1.36849</v>
      </c>
    </row>
    <row r="46" spans="14:34" x14ac:dyDescent="0.25">
      <c r="N46" s="80">
        <f t="shared" si="6"/>
        <v>0.22198630136986308</v>
      </c>
      <c r="O46" s="80"/>
      <c r="P46" s="81">
        <f t="shared" si="7"/>
        <v>1.8598699999999999</v>
      </c>
      <c r="Q46" s="65"/>
      <c r="R46" s="65"/>
      <c r="S46" s="117"/>
      <c r="V46" t="str">
        <f>AC27</f>
        <v>SOFR-OIS Basis Swap</v>
      </c>
      <c r="W46" s="1" t="str">
        <f>AD24</f>
        <v>20Y</v>
      </c>
      <c r="X46" s="73">
        <f>AE24+AE27/100</f>
        <v>1.4110199999999999</v>
      </c>
    </row>
    <row r="47" spans="14:34" x14ac:dyDescent="0.25">
      <c r="N47" s="80">
        <f t="shared" si="6"/>
        <v>0.22698630136986309</v>
      </c>
      <c r="O47" s="80"/>
      <c r="P47" s="81">
        <f t="shared" si="7"/>
        <v>1.8598699999999999</v>
      </c>
      <c r="Q47" s="65"/>
      <c r="R47" s="65"/>
      <c r="S47" s="117"/>
      <c r="V47" t="str">
        <f>AC31</f>
        <v>SOFR-LIBOR Basis Swap</v>
      </c>
      <c r="W47" s="1" t="str">
        <f>AD28</f>
        <v>30Y</v>
      </c>
      <c r="X47" s="73">
        <f>AE28+AE31/100</f>
        <v>1.4213499999999999</v>
      </c>
    </row>
    <row r="48" spans="14:34" x14ac:dyDescent="0.25">
      <c r="N48" s="80">
        <f t="shared" si="6"/>
        <v>0.23198630136986309</v>
      </c>
      <c r="O48" s="80"/>
      <c r="P48" s="81">
        <f t="shared" si="7"/>
        <v>1.95987</v>
      </c>
      <c r="Q48" s="65"/>
      <c r="R48" s="65"/>
      <c r="S48" s="117">
        <v>0.1</v>
      </c>
      <c r="V48" t="str">
        <f>AC32</f>
        <v>SOFR-LIBOR Basis Swap</v>
      </c>
      <c r="W48" s="1" t="str">
        <f>AD29</f>
        <v>40Y</v>
      </c>
      <c r="X48" s="73">
        <f>AE29+AE32/100</f>
        <v>1.40063</v>
      </c>
    </row>
    <row r="49" spans="14:24" x14ac:dyDescent="0.25">
      <c r="N49" s="80">
        <f t="shared" si="6"/>
        <v>0.23698630136986309</v>
      </c>
      <c r="O49" s="80"/>
      <c r="P49" s="81">
        <f t="shared" si="7"/>
        <v>1.8598699999999999</v>
      </c>
      <c r="Q49" s="65"/>
      <c r="R49" s="65"/>
      <c r="S49" s="117"/>
      <c r="V49" t="str">
        <f>AC33</f>
        <v>SOFR-LIBOR Basis Swap</v>
      </c>
      <c r="W49" s="1" t="str">
        <f>AD30</f>
        <v>50Y</v>
      </c>
      <c r="X49" s="73">
        <f>AE30+AE33/100</f>
        <v>1.36656</v>
      </c>
    </row>
    <row r="50" spans="14:24" x14ac:dyDescent="0.25">
      <c r="N50" s="78">
        <f>W9</f>
        <v>0.25205479452054796</v>
      </c>
      <c r="O50" s="78"/>
      <c r="P50" s="79">
        <f>Z9</f>
        <v>1.5793900000000001</v>
      </c>
      <c r="Q50" s="65"/>
      <c r="R50" s="65"/>
      <c r="S50" s="116"/>
    </row>
    <row r="51" spans="14:24" x14ac:dyDescent="0.25">
      <c r="N51" s="80">
        <f t="shared" ref="N51:N76" si="10">N50+0.005</f>
        <v>0.25705479452054797</v>
      </c>
      <c r="O51" s="80"/>
      <c r="P51" s="81">
        <f t="shared" ref="P51:P76" si="11">$P$50+S51</f>
        <v>1.77939</v>
      </c>
      <c r="Q51" s="65"/>
      <c r="R51" s="65"/>
      <c r="S51" s="117">
        <v>0.2</v>
      </c>
    </row>
    <row r="52" spans="14:24" x14ac:dyDescent="0.25">
      <c r="N52" s="80">
        <f t="shared" si="10"/>
        <v>0.26205479452054797</v>
      </c>
      <c r="O52" s="80"/>
      <c r="P52" s="81">
        <f t="shared" si="11"/>
        <v>1.5793900000000001</v>
      </c>
      <c r="Q52" s="65"/>
      <c r="R52" s="65"/>
      <c r="S52" s="117"/>
    </row>
    <row r="53" spans="14:24" x14ac:dyDescent="0.25">
      <c r="N53" s="80">
        <f t="shared" si="10"/>
        <v>0.26705479452054798</v>
      </c>
      <c r="O53" s="80"/>
      <c r="P53" s="81">
        <f t="shared" si="11"/>
        <v>1.5793900000000001</v>
      </c>
      <c r="Q53" s="65"/>
      <c r="R53" s="65"/>
      <c r="S53" s="117"/>
    </row>
    <row r="54" spans="14:24" x14ac:dyDescent="0.25">
      <c r="N54" s="80">
        <f t="shared" si="10"/>
        <v>0.27205479452054798</v>
      </c>
      <c r="O54" s="80"/>
      <c r="P54" s="81">
        <f t="shared" si="11"/>
        <v>1.5793900000000001</v>
      </c>
      <c r="Q54" s="65"/>
      <c r="R54" s="65"/>
      <c r="S54" s="117"/>
    </row>
    <row r="55" spans="14:24" x14ac:dyDescent="0.25">
      <c r="N55" s="80">
        <f t="shared" si="10"/>
        <v>0.27705479452054799</v>
      </c>
      <c r="O55" s="80"/>
      <c r="P55" s="81">
        <f t="shared" si="11"/>
        <v>1.5793900000000001</v>
      </c>
      <c r="Q55" s="65"/>
      <c r="R55" s="65"/>
      <c r="S55" s="117"/>
    </row>
    <row r="56" spans="14:24" x14ac:dyDescent="0.25">
      <c r="N56" s="80">
        <f t="shared" si="10"/>
        <v>0.28205479452054799</v>
      </c>
      <c r="O56" s="80"/>
      <c r="P56" s="81">
        <f t="shared" si="11"/>
        <v>1.5793900000000001</v>
      </c>
      <c r="Q56" s="65"/>
      <c r="R56" s="65"/>
      <c r="S56" s="117"/>
    </row>
    <row r="57" spans="14:24" x14ac:dyDescent="0.25">
      <c r="N57" s="80">
        <f t="shared" si="10"/>
        <v>0.287054794520548</v>
      </c>
      <c r="O57" s="80"/>
      <c r="P57" s="81">
        <f t="shared" si="11"/>
        <v>1.5793900000000001</v>
      </c>
      <c r="Q57" s="65"/>
      <c r="R57" s="65"/>
      <c r="S57" s="117"/>
    </row>
    <row r="58" spans="14:24" x14ac:dyDescent="0.25">
      <c r="N58" s="80">
        <f t="shared" si="10"/>
        <v>0.292054794520548</v>
      </c>
      <c r="O58" s="80"/>
      <c r="P58" s="81">
        <f t="shared" si="11"/>
        <v>1.5793900000000001</v>
      </c>
      <c r="Q58" s="65"/>
      <c r="R58" s="65"/>
      <c r="S58" s="117"/>
    </row>
    <row r="59" spans="14:24" x14ac:dyDescent="0.25">
      <c r="N59" s="80">
        <f t="shared" si="10"/>
        <v>0.297054794520548</v>
      </c>
      <c r="O59" s="80"/>
      <c r="P59" s="81">
        <f t="shared" si="11"/>
        <v>1.5793900000000001</v>
      </c>
      <c r="Q59" s="65"/>
      <c r="R59" s="65"/>
      <c r="S59" s="117"/>
    </row>
    <row r="60" spans="14:24" x14ac:dyDescent="0.25">
      <c r="N60" s="80">
        <f t="shared" si="10"/>
        <v>0.30205479452054801</v>
      </c>
      <c r="O60" s="80"/>
      <c r="P60" s="81">
        <f t="shared" si="11"/>
        <v>1.5793900000000001</v>
      </c>
      <c r="Q60" s="65"/>
      <c r="R60" s="65"/>
      <c r="S60" s="117"/>
    </row>
    <row r="61" spans="14:24" x14ac:dyDescent="0.25">
      <c r="N61" s="80">
        <f t="shared" si="10"/>
        <v>0.30705479452054801</v>
      </c>
      <c r="O61" s="80"/>
      <c r="P61" s="81">
        <f t="shared" si="11"/>
        <v>1.5793900000000001</v>
      </c>
      <c r="Q61" s="65"/>
      <c r="R61" s="65"/>
      <c r="S61" s="117"/>
    </row>
    <row r="62" spans="14:24" x14ac:dyDescent="0.25">
      <c r="N62" s="80">
        <f t="shared" si="10"/>
        <v>0.31205479452054802</v>
      </c>
      <c r="O62" s="80"/>
      <c r="P62" s="81">
        <f t="shared" si="11"/>
        <v>1.6793900000000002</v>
      </c>
      <c r="Q62" s="65"/>
      <c r="R62" s="65"/>
      <c r="S62" s="117">
        <v>0.1</v>
      </c>
    </row>
    <row r="63" spans="14:24" x14ac:dyDescent="0.25">
      <c r="N63" s="80">
        <f t="shared" si="10"/>
        <v>0.31705479452054802</v>
      </c>
      <c r="O63" s="80"/>
      <c r="P63" s="81">
        <f t="shared" si="11"/>
        <v>1.5793900000000001</v>
      </c>
      <c r="Q63" s="65"/>
      <c r="R63" s="65"/>
      <c r="S63" s="117"/>
    </row>
    <row r="64" spans="14:24" x14ac:dyDescent="0.25">
      <c r="N64" s="80">
        <f t="shared" si="10"/>
        <v>0.32205479452054803</v>
      </c>
      <c r="O64" s="80"/>
      <c r="P64" s="81">
        <f t="shared" si="11"/>
        <v>1.5793900000000001</v>
      </c>
      <c r="Q64" s="65"/>
      <c r="R64" s="65"/>
      <c r="S64" s="117"/>
    </row>
    <row r="65" spans="14:19" x14ac:dyDescent="0.25">
      <c r="N65" s="80">
        <f t="shared" si="10"/>
        <v>0.32705479452054803</v>
      </c>
      <c r="O65" s="80"/>
      <c r="P65" s="81">
        <f t="shared" si="11"/>
        <v>1.5793900000000001</v>
      </c>
      <c r="Q65" s="65"/>
      <c r="R65" s="65"/>
      <c r="S65" s="117"/>
    </row>
    <row r="66" spans="14:19" x14ac:dyDescent="0.25">
      <c r="N66" s="80">
        <f t="shared" si="10"/>
        <v>0.33205479452054804</v>
      </c>
      <c r="O66" s="80"/>
      <c r="P66" s="81">
        <f t="shared" si="11"/>
        <v>1.5793900000000001</v>
      </c>
      <c r="Q66" s="65"/>
      <c r="R66" s="65"/>
      <c r="S66" s="117"/>
    </row>
    <row r="67" spans="14:19" x14ac:dyDescent="0.25">
      <c r="N67" s="80">
        <f t="shared" si="10"/>
        <v>0.33705479452054804</v>
      </c>
      <c r="O67" s="80"/>
      <c r="P67" s="81">
        <f t="shared" si="11"/>
        <v>1.5793900000000001</v>
      </c>
      <c r="Q67" s="65"/>
      <c r="R67" s="65"/>
      <c r="S67" s="117"/>
    </row>
    <row r="68" spans="14:19" x14ac:dyDescent="0.25">
      <c r="N68" s="80">
        <f t="shared" si="10"/>
        <v>0.34205479452054804</v>
      </c>
      <c r="O68" s="80"/>
      <c r="P68" s="81">
        <f t="shared" si="11"/>
        <v>1.5793900000000001</v>
      </c>
      <c r="Q68" s="65"/>
      <c r="R68" s="65"/>
      <c r="S68" s="117"/>
    </row>
    <row r="69" spans="14:19" x14ac:dyDescent="0.25">
      <c r="N69" s="80">
        <f t="shared" si="10"/>
        <v>0.34705479452054805</v>
      </c>
      <c r="O69" s="80"/>
      <c r="P69" s="81">
        <f t="shared" si="11"/>
        <v>1.5793900000000001</v>
      </c>
      <c r="Q69" s="65"/>
      <c r="R69" s="65"/>
      <c r="S69" s="117"/>
    </row>
    <row r="70" spans="14:19" x14ac:dyDescent="0.25">
      <c r="N70" s="80">
        <f t="shared" si="10"/>
        <v>0.35205479452054805</v>
      </c>
      <c r="O70" s="80"/>
      <c r="P70" s="81">
        <f t="shared" si="11"/>
        <v>1.5793900000000001</v>
      </c>
      <c r="Q70" s="65"/>
      <c r="R70" s="65"/>
      <c r="S70" s="117"/>
    </row>
    <row r="71" spans="14:19" x14ac:dyDescent="0.25">
      <c r="N71" s="80">
        <f t="shared" si="10"/>
        <v>0.35705479452054806</v>
      </c>
      <c r="O71" s="80"/>
      <c r="P71" s="81">
        <f t="shared" si="11"/>
        <v>1.5793900000000001</v>
      </c>
      <c r="Q71" s="65"/>
      <c r="R71" s="65"/>
      <c r="S71" s="117"/>
    </row>
    <row r="72" spans="14:19" x14ac:dyDescent="0.25">
      <c r="N72" s="80">
        <f t="shared" si="10"/>
        <v>0.36205479452054806</v>
      </c>
      <c r="O72" s="80"/>
      <c r="P72" s="81">
        <f t="shared" si="11"/>
        <v>1.97939</v>
      </c>
      <c r="Q72" s="65"/>
      <c r="R72" s="65"/>
      <c r="S72" s="117">
        <v>0.4</v>
      </c>
    </row>
    <row r="73" spans="14:19" x14ac:dyDescent="0.25">
      <c r="N73" s="80">
        <f t="shared" si="10"/>
        <v>0.36705479452054807</v>
      </c>
      <c r="O73" s="80"/>
      <c r="P73" s="81">
        <f t="shared" si="11"/>
        <v>1.5793900000000001</v>
      </c>
      <c r="Q73" s="65"/>
      <c r="R73" s="65"/>
      <c r="S73" s="117"/>
    </row>
    <row r="74" spans="14:19" x14ac:dyDescent="0.25">
      <c r="N74" s="80">
        <f t="shared" si="10"/>
        <v>0.37205479452054807</v>
      </c>
      <c r="O74" s="80"/>
      <c r="P74" s="81">
        <f t="shared" si="11"/>
        <v>1.5793900000000001</v>
      </c>
      <c r="Q74" s="65"/>
      <c r="R74" s="65"/>
      <c r="S74" s="117"/>
    </row>
    <row r="75" spans="14:19" x14ac:dyDescent="0.25">
      <c r="N75" s="80">
        <f t="shared" si="10"/>
        <v>0.37705479452054808</v>
      </c>
      <c r="O75" s="80"/>
      <c r="P75" s="81">
        <f t="shared" si="11"/>
        <v>1.5793900000000001</v>
      </c>
      <c r="Q75" s="65"/>
      <c r="R75" s="65"/>
      <c r="S75" s="117"/>
    </row>
    <row r="76" spans="14:19" x14ac:dyDescent="0.25">
      <c r="N76" s="80">
        <f t="shared" si="10"/>
        <v>0.38205479452054808</v>
      </c>
      <c r="O76" s="80"/>
      <c r="P76" s="81">
        <f t="shared" si="11"/>
        <v>1.5793900000000001</v>
      </c>
      <c r="Q76" s="65"/>
      <c r="R76" s="65"/>
      <c r="S76" s="117"/>
    </row>
    <row r="77" spans="14:19" x14ac:dyDescent="0.25">
      <c r="N77" s="78">
        <f>W10</f>
        <v>0.38630136986301372</v>
      </c>
      <c r="O77" s="78"/>
      <c r="P77" s="79">
        <f>Z10</f>
        <v>1.3886000000000001</v>
      </c>
      <c r="Q77" s="65"/>
      <c r="R77" s="65"/>
      <c r="S77" s="116"/>
    </row>
    <row r="78" spans="14:19" x14ac:dyDescent="0.25">
      <c r="N78" s="80">
        <f t="shared" ref="N78:N101" si="12">N77+0.005</f>
        <v>0.39130136986301373</v>
      </c>
      <c r="O78" s="80"/>
      <c r="P78" s="81">
        <f t="shared" ref="P78:P101" si="13">$P$77+S78</f>
        <v>1.3886000000000001</v>
      </c>
      <c r="Q78" s="65"/>
      <c r="R78" s="65"/>
      <c r="S78" s="117"/>
    </row>
    <row r="79" spans="14:19" x14ac:dyDescent="0.25">
      <c r="N79" s="80">
        <f t="shared" si="12"/>
        <v>0.39630136986301373</v>
      </c>
      <c r="O79" s="80"/>
      <c r="P79" s="81">
        <f t="shared" si="13"/>
        <v>1.5886</v>
      </c>
      <c r="Q79" s="65"/>
      <c r="R79" s="65"/>
      <c r="S79" s="117">
        <v>0.2</v>
      </c>
    </row>
    <row r="80" spans="14:19" x14ac:dyDescent="0.25">
      <c r="N80" s="80">
        <f t="shared" si="12"/>
        <v>0.40130136986301373</v>
      </c>
      <c r="O80" s="80"/>
      <c r="P80" s="81">
        <f t="shared" si="13"/>
        <v>1.3886000000000001</v>
      </c>
      <c r="Q80" s="65"/>
      <c r="R80" s="65"/>
      <c r="S80" s="117"/>
    </row>
    <row r="81" spans="14:21" x14ac:dyDescent="0.25">
      <c r="N81" s="80">
        <f t="shared" si="12"/>
        <v>0.40630136986301374</v>
      </c>
      <c r="O81" s="80"/>
      <c r="P81" s="81">
        <f t="shared" si="13"/>
        <v>1.3886000000000001</v>
      </c>
      <c r="Q81" s="65"/>
      <c r="R81" s="65"/>
      <c r="S81" s="117"/>
    </row>
    <row r="82" spans="14:21" x14ac:dyDescent="0.25">
      <c r="N82" s="80">
        <f t="shared" si="12"/>
        <v>0.41130136986301374</v>
      </c>
      <c r="O82" s="80"/>
      <c r="P82" s="81">
        <f t="shared" si="13"/>
        <v>1.3886000000000001</v>
      </c>
      <c r="Q82" s="65"/>
      <c r="R82" s="65"/>
      <c r="S82" s="117"/>
    </row>
    <row r="83" spans="14:21" x14ac:dyDescent="0.25">
      <c r="N83" s="80">
        <f t="shared" si="12"/>
        <v>0.41630136986301375</v>
      </c>
      <c r="O83" s="80"/>
      <c r="P83" s="81">
        <f t="shared" si="13"/>
        <v>1.3886000000000001</v>
      </c>
      <c r="Q83" s="65"/>
      <c r="R83" s="65"/>
      <c r="S83" s="117"/>
    </row>
    <row r="84" spans="14:21" x14ac:dyDescent="0.25">
      <c r="N84" s="80">
        <f t="shared" si="12"/>
        <v>0.42130136986301375</v>
      </c>
      <c r="O84" s="80"/>
      <c r="P84" s="81">
        <f t="shared" si="13"/>
        <v>1.3886000000000001</v>
      </c>
      <c r="Q84" s="65"/>
      <c r="R84" s="65"/>
      <c r="S84" s="117"/>
    </row>
    <row r="85" spans="14:21" x14ac:dyDescent="0.25">
      <c r="N85" s="80">
        <f t="shared" si="12"/>
        <v>0.42630136986301376</v>
      </c>
      <c r="O85" s="80"/>
      <c r="P85" s="81">
        <f t="shared" si="13"/>
        <v>1.3886000000000001</v>
      </c>
      <c r="Q85" s="65"/>
      <c r="R85" s="65"/>
      <c r="S85" s="117"/>
    </row>
    <row r="86" spans="14:21" x14ac:dyDescent="0.25">
      <c r="N86" s="80">
        <f t="shared" si="12"/>
        <v>0.43130136986301376</v>
      </c>
      <c r="O86" s="80"/>
      <c r="P86" s="81">
        <f t="shared" si="13"/>
        <v>1.3886000000000001</v>
      </c>
      <c r="Q86" s="65"/>
      <c r="R86" s="65"/>
      <c r="S86" s="117"/>
    </row>
    <row r="87" spans="14:21" x14ac:dyDescent="0.25">
      <c r="N87" s="80">
        <f t="shared" si="12"/>
        <v>0.43630136986301377</v>
      </c>
      <c r="O87" s="80"/>
      <c r="P87" s="81">
        <f t="shared" si="13"/>
        <v>1.3886000000000001</v>
      </c>
      <c r="Q87" s="65"/>
      <c r="R87" s="65"/>
      <c r="S87" s="117"/>
    </row>
    <row r="88" spans="14:21" x14ac:dyDescent="0.25">
      <c r="N88" s="80">
        <f t="shared" si="12"/>
        <v>0.44130136986301377</v>
      </c>
      <c r="O88" s="80"/>
      <c r="P88" s="81">
        <f t="shared" si="13"/>
        <v>1.3886000000000001</v>
      </c>
      <c r="Q88" s="65"/>
      <c r="R88" s="65"/>
      <c r="S88" s="117"/>
      <c r="U88" s="77"/>
    </row>
    <row r="89" spans="14:21" x14ac:dyDescent="0.25">
      <c r="N89" s="80">
        <f t="shared" si="12"/>
        <v>0.44630136986301377</v>
      </c>
      <c r="O89" s="80"/>
      <c r="P89" s="81">
        <f t="shared" si="13"/>
        <v>1.3886000000000001</v>
      </c>
      <c r="Q89" s="65"/>
      <c r="R89" s="65"/>
      <c r="S89" s="117"/>
    </row>
    <row r="90" spans="14:21" x14ac:dyDescent="0.25">
      <c r="N90" s="80">
        <f t="shared" si="12"/>
        <v>0.45130136986301378</v>
      </c>
      <c r="O90" s="80"/>
      <c r="P90" s="81">
        <f t="shared" si="13"/>
        <v>1.3886000000000001</v>
      </c>
      <c r="Q90" s="65"/>
      <c r="R90" s="65"/>
      <c r="S90" s="117"/>
    </row>
    <row r="91" spans="14:21" x14ac:dyDescent="0.25">
      <c r="N91" s="80">
        <f t="shared" si="12"/>
        <v>0.45630136986301378</v>
      </c>
      <c r="O91" s="80"/>
      <c r="P91" s="81">
        <f t="shared" si="13"/>
        <v>1.3886000000000001</v>
      </c>
      <c r="Q91" s="65"/>
      <c r="R91" s="65"/>
      <c r="S91" s="117"/>
    </row>
    <row r="92" spans="14:21" x14ac:dyDescent="0.25">
      <c r="N92" s="80">
        <f t="shared" si="12"/>
        <v>0.46130136986301379</v>
      </c>
      <c r="O92" s="80"/>
      <c r="P92" s="81">
        <f t="shared" si="13"/>
        <v>1.3886000000000001</v>
      </c>
      <c r="Q92" s="65"/>
      <c r="R92" s="65"/>
      <c r="S92" s="117"/>
    </row>
    <row r="93" spans="14:21" x14ac:dyDescent="0.25">
      <c r="N93" s="80">
        <f t="shared" si="12"/>
        <v>0.46630136986301379</v>
      </c>
      <c r="O93" s="80"/>
      <c r="P93" s="81">
        <f t="shared" si="13"/>
        <v>1.3886000000000001</v>
      </c>
      <c r="Q93" s="65"/>
      <c r="R93" s="65"/>
      <c r="S93" s="117"/>
    </row>
    <row r="94" spans="14:21" x14ac:dyDescent="0.25">
      <c r="N94" s="80">
        <f t="shared" si="12"/>
        <v>0.4713013698630138</v>
      </c>
      <c r="O94" s="80"/>
      <c r="P94" s="81">
        <f t="shared" si="13"/>
        <v>1.3886000000000001</v>
      </c>
      <c r="Q94" s="65"/>
      <c r="R94" s="65"/>
      <c r="S94" s="117"/>
    </row>
    <row r="95" spans="14:21" x14ac:dyDescent="0.25">
      <c r="N95" s="80">
        <f t="shared" si="12"/>
        <v>0.4763013698630138</v>
      </c>
      <c r="O95" s="80"/>
      <c r="P95" s="81">
        <f t="shared" si="13"/>
        <v>1.3886000000000001</v>
      </c>
      <c r="Q95" s="65"/>
      <c r="R95" s="65"/>
      <c r="S95" s="117"/>
    </row>
    <row r="96" spans="14:21" x14ac:dyDescent="0.25">
      <c r="N96" s="80">
        <f t="shared" si="12"/>
        <v>0.48130136986301381</v>
      </c>
      <c r="O96" s="80"/>
      <c r="P96" s="81">
        <f t="shared" si="13"/>
        <v>1.5886</v>
      </c>
      <c r="Q96" s="65"/>
      <c r="R96" s="65"/>
      <c r="S96" s="117">
        <v>0.2</v>
      </c>
    </row>
    <row r="97" spans="14:19" x14ac:dyDescent="0.25">
      <c r="N97" s="80">
        <f t="shared" si="12"/>
        <v>0.48630136986301381</v>
      </c>
      <c r="O97" s="80"/>
      <c r="P97" s="81">
        <f t="shared" si="13"/>
        <v>1.3886000000000001</v>
      </c>
      <c r="Q97" s="65"/>
      <c r="R97" s="65"/>
      <c r="S97" s="117"/>
    </row>
    <row r="98" spans="14:19" x14ac:dyDescent="0.25">
      <c r="N98" s="80">
        <f t="shared" si="12"/>
        <v>0.49130136986301381</v>
      </c>
      <c r="O98" s="80"/>
      <c r="P98" s="81">
        <f t="shared" si="13"/>
        <v>1.3886000000000001</v>
      </c>
      <c r="Q98" s="65"/>
      <c r="R98" s="65"/>
      <c r="S98" s="117"/>
    </row>
    <row r="99" spans="14:19" x14ac:dyDescent="0.25">
      <c r="N99" s="80">
        <f t="shared" si="12"/>
        <v>0.49630136986301382</v>
      </c>
      <c r="O99" s="80"/>
      <c r="P99" s="81">
        <f t="shared" si="13"/>
        <v>1.3886000000000001</v>
      </c>
      <c r="Q99" s="65"/>
      <c r="R99" s="65"/>
      <c r="S99" s="117"/>
    </row>
    <row r="100" spans="14:19" x14ac:dyDescent="0.25">
      <c r="N100" s="80">
        <f t="shared" si="12"/>
        <v>0.50130136986301377</v>
      </c>
      <c r="O100" s="80"/>
      <c r="P100" s="81">
        <f t="shared" si="13"/>
        <v>1.3886000000000001</v>
      </c>
      <c r="Q100" s="65"/>
      <c r="R100" s="65"/>
      <c r="S100" s="117"/>
    </row>
    <row r="101" spans="14:19" x14ac:dyDescent="0.25">
      <c r="N101" s="80">
        <f t="shared" si="12"/>
        <v>0.50630136986301377</v>
      </c>
      <c r="O101" s="80"/>
      <c r="P101" s="81">
        <f t="shared" si="13"/>
        <v>1.3886000000000001</v>
      </c>
      <c r="Q101" s="79">
        <f>P101</f>
        <v>1.3886000000000001</v>
      </c>
      <c r="R101" s="65"/>
      <c r="S101" s="117"/>
    </row>
    <row r="102" spans="14:19" x14ac:dyDescent="0.25">
      <c r="N102" s="82">
        <v>0.52</v>
      </c>
      <c r="O102" s="82"/>
      <c r="P102" s="83"/>
      <c r="Q102" s="84">
        <f>Z11</f>
        <v>1.3025199999999999</v>
      </c>
      <c r="R102" s="83"/>
      <c r="S102" s="121" t="s">
        <v>66</v>
      </c>
    </row>
    <row r="103" spans="14:19" x14ac:dyDescent="0.25">
      <c r="N103" s="85">
        <f t="shared" ref="N103:N116" si="14">N102+0.05</f>
        <v>0.57000000000000006</v>
      </c>
      <c r="O103" s="85"/>
      <c r="P103" s="83"/>
      <c r="Q103" s="86">
        <f t="shared" ref="Q103:Q106" si="15">$Q$102*(1-S103)+$Q$107*S103</f>
        <v>1.2832460000000001</v>
      </c>
      <c r="R103" s="83"/>
      <c r="S103" s="121">
        <v>0.2</v>
      </c>
    </row>
    <row r="104" spans="14:19" x14ac:dyDescent="0.25">
      <c r="N104" s="85">
        <f t="shared" si="14"/>
        <v>0.62000000000000011</v>
      </c>
      <c r="O104" s="85"/>
      <c r="P104" s="83"/>
      <c r="Q104" s="86">
        <f t="shared" si="15"/>
        <v>1.2639719999999999</v>
      </c>
      <c r="R104" s="83"/>
      <c r="S104" s="121">
        <v>0.4</v>
      </c>
    </row>
    <row r="105" spans="14:19" x14ac:dyDescent="0.25">
      <c r="N105" s="85">
        <f t="shared" si="14"/>
        <v>0.67000000000000015</v>
      </c>
      <c r="O105" s="85"/>
      <c r="P105" s="83"/>
      <c r="Q105" s="86">
        <f t="shared" si="15"/>
        <v>1.2446980000000001</v>
      </c>
      <c r="R105" s="83"/>
      <c r="S105" s="121">
        <v>0.6</v>
      </c>
    </row>
    <row r="106" spans="14:19" x14ac:dyDescent="0.25">
      <c r="N106" s="85">
        <f t="shared" si="14"/>
        <v>0.7200000000000002</v>
      </c>
      <c r="O106" s="85"/>
      <c r="P106" s="83"/>
      <c r="Q106" s="86">
        <f t="shared" si="15"/>
        <v>1.2254240000000001</v>
      </c>
      <c r="R106" s="83"/>
      <c r="S106" s="121">
        <v>0.8</v>
      </c>
    </row>
    <row r="107" spans="14:19" x14ac:dyDescent="0.25">
      <c r="N107" s="82">
        <f>W12</f>
        <v>0.76986301369863008</v>
      </c>
      <c r="O107" s="82"/>
      <c r="P107" s="83"/>
      <c r="Q107" s="84">
        <f>Z12</f>
        <v>1.2061500000000001</v>
      </c>
      <c r="R107" s="83"/>
      <c r="S107" s="121" t="s">
        <v>66</v>
      </c>
    </row>
    <row r="108" spans="14:19" x14ac:dyDescent="0.25">
      <c r="N108" s="85">
        <f t="shared" si="14"/>
        <v>0.81986301369863013</v>
      </c>
      <c r="O108" s="85"/>
      <c r="P108" s="83"/>
      <c r="Q108" s="86">
        <f t="shared" ref="Q108:Q111" si="16">$Q$107*(1-S108)+$Q$112*S108</f>
        <v>1.1968200000000002</v>
      </c>
      <c r="R108" s="83"/>
      <c r="S108" s="121">
        <v>0.2</v>
      </c>
    </row>
    <row r="109" spans="14:19" x14ac:dyDescent="0.25">
      <c r="N109" s="85">
        <f t="shared" si="14"/>
        <v>0.86986301369863017</v>
      </c>
      <c r="O109" s="85"/>
      <c r="P109" s="83"/>
      <c r="Q109" s="86">
        <f t="shared" si="16"/>
        <v>1.1874899999999999</v>
      </c>
      <c r="R109" s="83"/>
      <c r="S109" s="121">
        <v>0.4</v>
      </c>
    </row>
    <row r="110" spans="14:19" x14ac:dyDescent="0.25">
      <c r="N110" s="85">
        <f t="shared" si="14"/>
        <v>0.91986301369863022</v>
      </c>
      <c r="O110" s="85"/>
      <c r="P110" s="83"/>
      <c r="Q110" s="86">
        <f t="shared" si="16"/>
        <v>1.1781600000000001</v>
      </c>
      <c r="R110" s="83"/>
      <c r="S110" s="121">
        <v>0.6</v>
      </c>
    </row>
    <row r="111" spans="14:19" x14ac:dyDescent="0.25">
      <c r="N111" s="85">
        <f t="shared" si="14"/>
        <v>0.96986301369863026</v>
      </c>
      <c r="O111" s="85"/>
      <c r="P111" s="83"/>
      <c r="Q111" s="86">
        <f t="shared" si="16"/>
        <v>1.1688299999999998</v>
      </c>
      <c r="R111" s="83"/>
      <c r="S111" s="121">
        <v>0.8</v>
      </c>
    </row>
    <row r="112" spans="14:19" x14ac:dyDescent="0.25">
      <c r="N112" s="82">
        <f>W13</f>
        <v>1.0191780821917809</v>
      </c>
      <c r="O112" s="82"/>
      <c r="P112" s="83"/>
      <c r="Q112" s="84">
        <f>Z13</f>
        <v>1.1595</v>
      </c>
      <c r="R112" s="83"/>
      <c r="S112" s="121" t="s">
        <v>66</v>
      </c>
    </row>
    <row r="113" spans="14:19" x14ac:dyDescent="0.25">
      <c r="N113" s="85">
        <f t="shared" si="14"/>
        <v>1.0691780821917809</v>
      </c>
      <c r="O113" s="85"/>
      <c r="P113" s="83"/>
      <c r="Q113" s="86">
        <f t="shared" ref="Q113:Q116" si="17">$Q$112*(1-S113)+$Q$117*S113</f>
        <v>1.1642459999999994</v>
      </c>
      <c r="R113" s="83"/>
      <c r="S113" s="121">
        <v>0.2</v>
      </c>
    </row>
    <row r="114" spans="14:19" x14ac:dyDescent="0.25">
      <c r="N114" s="85">
        <f t="shared" si="14"/>
        <v>1.1191780821917809</v>
      </c>
      <c r="O114" s="85"/>
      <c r="P114" s="83"/>
      <c r="Q114" s="86">
        <f t="shared" si="17"/>
        <v>1.1689919999999991</v>
      </c>
      <c r="R114" s="83"/>
      <c r="S114" s="121">
        <v>0.4</v>
      </c>
    </row>
    <row r="115" spans="14:19" x14ac:dyDescent="0.25">
      <c r="N115" s="85">
        <f t="shared" si="14"/>
        <v>1.169178082191781</v>
      </c>
      <c r="O115" s="85"/>
      <c r="P115" s="83"/>
      <c r="Q115" s="86">
        <f t="shared" si="17"/>
        <v>1.1737379999999986</v>
      </c>
      <c r="R115" s="83"/>
      <c r="S115" s="121">
        <v>0.6</v>
      </c>
    </row>
    <row r="116" spans="14:19" x14ac:dyDescent="0.25">
      <c r="N116" s="85">
        <f t="shared" si="14"/>
        <v>1.219178082191781</v>
      </c>
      <c r="O116" s="85"/>
      <c r="P116" s="83"/>
      <c r="Q116" s="86">
        <f t="shared" si="17"/>
        <v>1.1784839999999983</v>
      </c>
      <c r="R116" s="83"/>
      <c r="S116" s="121">
        <v>0.8</v>
      </c>
    </row>
    <row r="117" spans="14:19" x14ac:dyDescent="0.25">
      <c r="N117" s="82">
        <f t="shared" ref="N117:N126" si="18">W14</f>
        <v>1.2684931506849315</v>
      </c>
      <c r="O117" s="82"/>
      <c r="P117" s="83"/>
      <c r="Q117" s="84">
        <f>Z14</f>
        <v>1.1832299999999978</v>
      </c>
      <c r="R117" s="84">
        <f>Q117</f>
        <v>1.1832299999999978</v>
      </c>
      <c r="S117" s="121"/>
    </row>
    <row r="118" spans="14:19" x14ac:dyDescent="0.25">
      <c r="N118" s="87">
        <f t="shared" si="18"/>
        <v>3</v>
      </c>
      <c r="O118" s="87"/>
      <c r="P118" s="88"/>
      <c r="Q118" s="88"/>
      <c r="R118" s="88">
        <f t="shared" ref="R118:R126" si="19">Z15</f>
        <v>1.22559</v>
      </c>
      <c r="S118" s="120"/>
    </row>
    <row r="119" spans="14:19" x14ac:dyDescent="0.25">
      <c r="N119" s="87">
        <f t="shared" si="18"/>
        <v>5</v>
      </c>
      <c r="O119" s="87"/>
      <c r="P119" s="88"/>
      <c r="Q119" s="88"/>
      <c r="R119" s="88">
        <f t="shared" si="19"/>
        <v>1.20502</v>
      </c>
      <c r="S119" s="120"/>
    </row>
    <row r="120" spans="14:19" x14ac:dyDescent="0.25">
      <c r="N120" s="87">
        <f t="shared" si="18"/>
        <v>7</v>
      </c>
      <c r="O120" s="87"/>
      <c r="P120" s="88"/>
      <c r="Q120" s="88"/>
      <c r="R120" s="88">
        <f t="shared" si="19"/>
        <v>1.23028</v>
      </c>
      <c r="S120" s="120"/>
    </row>
    <row r="121" spans="14:19" x14ac:dyDescent="0.25">
      <c r="N121" s="87">
        <f t="shared" si="18"/>
        <v>10</v>
      </c>
      <c r="O121" s="87"/>
      <c r="P121" s="88"/>
      <c r="Q121" s="88"/>
      <c r="R121" s="88">
        <f t="shared" si="19"/>
        <v>1.29071</v>
      </c>
      <c r="S121" s="120"/>
    </row>
    <row r="122" spans="14:19" x14ac:dyDescent="0.25">
      <c r="N122" s="87">
        <f t="shared" si="18"/>
        <v>15</v>
      </c>
      <c r="O122" s="87"/>
      <c r="P122" s="88"/>
      <c r="Q122" s="88"/>
      <c r="R122" s="88">
        <f t="shared" si="19"/>
        <v>1.36849</v>
      </c>
      <c r="S122" s="120"/>
    </row>
    <row r="123" spans="14:19" x14ac:dyDescent="0.25">
      <c r="N123" s="87">
        <f t="shared" si="18"/>
        <v>20</v>
      </c>
      <c r="O123" s="87"/>
      <c r="P123" s="88"/>
      <c r="Q123" s="88"/>
      <c r="R123" s="88">
        <f t="shared" si="19"/>
        <v>1.4110199999999999</v>
      </c>
      <c r="S123" s="120"/>
    </row>
    <row r="124" spans="14:19" x14ac:dyDescent="0.25">
      <c r="N124" s="87">
        <f t="shared" si="18"/>
        <v>30</v>
      </c>
      <c r="O124" s="87"/>
      <c r="P124" s="88"/>
      <c r="Q124" s="88"/>
      <c r="R124" s="88">
        <f t="shared" si="19"/>
        <v>1.4213499999999999</v>
      </c>
      <c r="S124" s="120"/>
    </row>
    <row r="125" spans="14:19" x14ac:dyDescent="0.25">
      <c r="N125" s="87">
        <f t="shared" si="18"/>
        <v>40</v>
      </c>
      <c r="O125" s="87"/>
      <c r="P125" s="88"/>
      <c r="Q125" s="88"/>
      <c r="R125" s="88">
        <f t="shared" si="19"/>
        <v>1.40063</v>
      </c>
      <c r="S125" s="120"/>
    </row>
    <row r="126" spans="14:19" x14ac:dyDescent="0.25">
      <c r="N126" s="87">
        <f t="shared" si="18"/>
        <v>50</v>
      </c>
      <c r="O126" s="87"/>
      <c r="P126" s="88"/>
      <c r="Q126" s="88"/>
      <c r="R126" s="88">
        <f t="shared" si="19"/>
        <v>1.36656</v>
      </c>
      <c r="S126" s="120"/>
    </row>
    <row r="148" spans="23:24" x14ac:dyDescent="0.25">
      <c r="W148" s="2"/>
      <c r="X148" s="2"/>
    </row>
    <row r="149" spans="23:24" x14ac:dyDescent="0.25">
      <c r="W149" s="2"/>
      <c r="X149" s="2"/>
    </row>
    <row r="150" spans="23:24" x14ac:dyDescent="0.25">
      <c r="W150" s="2"/>
      <c r="X150" s="2"/>
    </row>
    <row r="151" spans="23:24" x14ac:dyDescent="0.25">
      <c r="W151" s="2"/>
      <c r="X151" s="2"/>
    </row>
    <row r="152" spans="23:24" x14ac:dyDescent="0.25">
      <c r="W152" s="2"/>
      <c r="X152" s="2"/>
    </row>
    <row r="153" spans="23:24" x14ac:dyDescent="0.25">
      <c r="W153" s="2"/>
      <c r="X153" s="2"/>
    </row>
    <row r="154" spans="23:24" x14ac:dyDescent="0.25">
      <c r="W154" s="2"/>
      <c r="X154" s="2"/>
    </row>
    <row r="155" spans="23:24" x14ac:dyDescent="0.25">
      <c r="W155" s="2"/>
      <c r="X155" s="2"/>
    </row>
    <row r="156" spans="23:24" x14ac:dyDescent="0.25">
      <c r="W156" s="2"/>
      <c r="X156" s="2"/>
    </row>
    <row r="157" spans="23:24" x14ac:dyDescent="0.25">
      <c r="W157" s="2"/>
      <c r="X157" s="2"/>
    </row>
    <row r="158" spans="23:24" x14ac:dyDescent="0.25">
      <c r="W158" s="2"/>
      <c r="X158" s="2"/>
    </row>
    <row r="159" spans="23:24" x14ac:dyDescent="0.25">
      <c r="W159" s="2"/>
      <c r="X159" s="2"/>
    </row>
    <row r="160" spans="23:24" x14ac:dyDescent="0.25">
      <c r="W160" s="2"/>
      <c r="X160" s="2"/>
    </row>
    <row r="161" spans="23:24" x14ac:dyDescent="0.25">
      <c r="W161" s="2"/>
      <c r="X161" s="2"/>
    </row>
    <row r="162" spans="23:24" x14ac:dyDescent="0.25">
      <c r="W162" s="2"/>
      <c r="X162" s="2"/>
    </row>
    <row r="163" spans="23:24" x14ac:dyDescent="0.25">
      <c r="W163" s="2"/>
      <c r="X163" s="2"/>
    </row>
    <row r="164" spans="23:24" x14ac:dyDescent="0.25">
      <c r="W164" s="2"/>
      <c r="X164" s="2"/>
    </row>
    <row r="165" spans="23:24" x14ac:dyDescent="0.25">
      <c r="W165" s="2"/>
      <c r="X165" s="2"/>
    </row>
    <row r="166" spans="23:24" x14ac:dyDescent="0.25">
      <c r="W166" s="2"/>
      <c r="X166" s="2"/>
    </row>
    <row r="167" spans="23:24" x14ac:dyDescent="0.25">
      <c r="W167" s="2"/>
      <c r="X167" s="2"/>
    </row>
    <row r="168" spans="23:24" x14ac:dyDescent="0.25">
      <c r="W168" s="2"/>
      <c r="X168" s="2"/>
    </row>
    <row r="169" spans="23:24" x14ac:dyDescent="0.25">
      <c r="W169" s="2"/>
      <c r="X169" s="2"/>
    </row>
    <row r="170" spans="23:24" x14ac:dyDescent="0.25">
      <c r="W170" s="2"/>
      <c r="X170" s="2"/>
    </row>
    <row r="171" spans="23:24" x14ac:dyDescent="0.25">
      <c r="W171" s="2"/>
      <c r="X171" s="2"/>
    </row>
    <row r="172" spans="23:24" x14ac:dyDescent="0.25">
      <c r="W172" s="2"/>
      <c r="X172" s="2"/>
    </row>
    <row r="173" spans="23:24" x14ac:dyDescent="0.25">
      <c r="W173" s="2"/>
      <c r="X173" s="2"/>
    </row>
    <row r="174" spans="23:24" x14ac:dyDescent="0.25">
      <c r="W174" s="2"/>
      <c r="X174" s="2"/>
    </row>
    <row r="175" spans="23:24" x14ac:dyDescent="0.25">
      <c r="W175" s="2"/>
      <c r="X175" s="2"/>
    </row>
    <row r="176" spans="23:24" x14ac:dyDescent="0.25">
      <c r="W176" s="2"/>
      <c r="X176" s="2"/>
    </row>
    <row r="177" spans="23:24" x14ac:dyDescent="0.25">
      <c r="W177" s="2"/>
      <c r="X177" s="2"/>
    </row>
    <row r="178" spans="23:24" x14ac:dyDescent="0.25">
      <c r="W178" s="2"/>
      <c r="X178" s="2"/>
    </row>
    <row r="179" spans="23:24" x14ac:dyDescent="0.25">
      <c r="W179" s="2"/>
      <c r="X179" s="2"/>
    </row>
    <row r="180" spans="23:24" x14ac:dyDescent="0.25">
      <c r="W180" s="2"/>
      <c r="X180" s="2"/>
    </row>
    <row r="181" spans="23:24" x14ac:dyDescent="0.25">
      <c r="W181" s="2"/>
      <c r="X181" s="2"/>
    </row>
    <row r="182" spans="23:24" x14ac:dyDescent="0.25">
      <c r="W182" s="2"/>
      <c r="X182" s="2"/>
    </row>
    <row r="183" spans="23:24" x14ac:dyDescent="0.25">
      <c r="W183" s="2"/>
      <c r="X183" s="2"/>
    </row>
    <row r="184" spans="23:24" x14ac:dyDescent="0.25">
      <c r="W184" s="2"/>
      <c r="X184" s="2"/>
    </row>
    <row r="185" spans="23:24" x14ac:dyDescent="0.25">
      <c r="W185" s="2"/>
      <c r="X185" s="2"/>
    </row>
    <row r="186" spans="23:24" x14ac:dyDescent="0.25">
      <c r="W186" s="2"/>
      <c r="X186" s="2"/>
    </row>
    <row r="187" spans="23:24" x14ac:dyDescent="0.25">
      <c r="W187" s="2"/>
      <c r="X187" s="2"/>
    </row>
    <row r="188" spans="23:24" x14ac:dyDescent="0.25">
      <c r="W188" s="2"/>
      <c r="X188" s="2"/>
    </row>
    <row r="189" spans="23:24" x14ac:dyDescent="0.25">
      <c r="W189" s="2"/>
      <c r="X189" s="2"/>
    </row>
    <row r="190" spans="23:24" x14ac:dyDescent="0.25">
      <c r="W190" s="2"/>
      <c r="X190" s="2"/>
    </row>
    <row r="191" spans="23:24" x14ac:dyDescent="0.25">
      <c r="W191" s="2"/>
      <c r="X191" s="2"/>
    </row>
    <row r="192" spans="23:24" x14ac:dyDescent="0.25">
      <c r="W192" s="2"/>
      <c r="X192" s="2"/>
    </row>
    <row r="193" spans="23:24" x14ac:dyDescent="0.25">
      <c r="W193" s="2"/>
      <c r="X193" s="2"/>
    </row>
    <row r="194" spans="23:24" x14ac:dyDescent="0.25">
      <c r="W194" s="2"/>
      <c r="X194" s="2"/>
    </row>
    <row r="195" spans="23:24" x14ac:dyDescent="0.25">
      <c r="W195" s="2"/>
      <c r="X195" s="2"/>
    </row>
    <row r="196" spans="23:24" x14ac:dyDescent="0.25">
      <c r="W196" s="2"/>
      <c r="X196" s="2"/>
    </row>
    <row r="197" spans="23:24" x14ac:dyDescent="0.25">
      <c r="W197" s="2"/>
      <c r="X197" s="2"/>
    </row>
    <row r="198" spans="23:24" x14ac:dyDescent="0.25">
      <c r="W198" s="2"/>
      <c r="X198" s="2"/>
    </row>
    <row r="199" spans="23:24" x14ac:dyDescent="0.25">
      <c r="W199" s="2"/>
      <c r="X199" s="2"/>
    </row>
    <row r="200" spans="23:24" x14ac:dyDescent="0.25">
      <c r="W200" s="2"/>
      <c r="X200" s="2"/>
    </row>
    <row r="201" spans="23:24" x14ac:dyDescent="0.25">
      <c r="W201" s="2"/>
      <c r="X201" s="2"/>
    </row>
    <row r="202" spans="23:24" x14ac:dyDescent="0.25">
      <c r="W202" s="2"/>
      <c r="X202" s="2"/>
    </row>
    <row r="203" spans="23:24" x14ac:dyDescent="0.25">
      <c r="W203" s="2"/>
      <c r="X203" s="2"/>
    </row>
    <row r="204" spans="23:24" x14ac:dyDescent="0.25">
      <c r="W204" s="2"/>
      <c r="X204" s="2"/>
    </row>
    <row r="205" spans="23:24" x14ac:dyDescent="0.25">
      <c r="W205" s="2"/>
      <c r="X205" s="2"/>
    </row>
    <row r="206" spans="23:24" x14ac:dyDescent="0.25">
      <c r="W206" s="2"/>
      <c r="X206" s="2"/>
    </row>
    <row r="207" spans="23:24" x14ac:dyDescent="0.25">
      <c r="W207" s="2"/>
      <c r="X207" s="2"/>
    </row>
    <row r="208" spans="23:24" x14ac:dyDescent="0.25">
      <c r="W208" s="2"/>
      <c r="X208" s="2"/>
    </row>
    <row r="209" spans="23:24" x14ac:dyDescent="0.25">
      <c r="W209" s="2"/>
      <c r="X209" s="2"/>
    </row>
    <row r="210" spans="23:24" x14ac:dyDescent="0.25">
      <c r="W210" s="2"/>
      <c r="X210" s="2"/>
    </row>
    <row r="211" spans="23:24" x14ac:dyDescent="0.25">
      <c r="W211" s="2"/>
      <c r="X211" s="2"/>
    </row>
    <row r="212" spans="23:24" x14ac:dyDescent="0.25">
      <c r="W212" s="2"/>
      <c r="X212" s="2"/>
    </row>
    <row r="213" spans="23:24" x14ac:dyDescent="0.25">
      <c r="W213" s="2"/>
      <c r="X213" s="2"/>
    </row>
    <row r="214" spans="23:24" x14ac:dyDescent="0.25">
      <c r="W214" s="2"/>
      <c r="X214" s="2"/>
    </row>
    <row r="215" spans="23:24" x14ac:dyDescent="0.25">
      <c r="W215" s="2"/>
      <c r="X215" s="2"/>
    </row>
    <row r="216" spans="23:24" x14ac:dyDescent="0.25">
      <c r="W216" s="2"/>
      <c r="X216" s="2"/>
    </row>
    <row r="217" spans="23:24" x14ac:dyDescent="0.25">
      <c r="W217" s="2"/>
      <c r="X217" s="2"/>
    </row>
    <row r="218" spans="23:24" x14ac:dyDescent="0.25">
      <c r="W218" s="2"/>
      <c r="X218" s="2"/>
    </row>
    <row r="219" spans="23:24" x14ac:dyDescent="0.25">
      <c r="W219" s="2"/>
      <c r="X219" s="2"/>
    </row>
    <row r="220" spans="23:24" x14ac:dyDescent="0.25">
      <c r="W220" s="2"/>
      <c r="X220" s="2"/>
    </row>
    <row r="221" spans="23:24" x14ac:dyDescent="0.25">
      <c r="W221" s="2"/>
      <c r="X221" s="2"/>
    </row>
    <row r="222" spans="23:24" x14ac:dyDescent="0.25">
      <c r="W222" s="2"/>
      <c r="X222" s="2"/>
    </row>
    <row r="223" spans="23:24" x14ac:dyDescent="0.25">
      <c r="W223" s="2"/>
      <c r="X223" s="2"/>
    </row>
    <row r="224" spans="23:24" x14ac:dyDescent="0.25">
      <c r="W224" s="2"/>
      <c r="X224" s="2"/>
    </row>
    <row r="225" spans="23:24" x14ac:dyDescent="0.25">
      <c r="W225" s="2"/>
      <c r="X225" s="2"/>
    </row>
    <row r="226" spans="23:24" x14ac:dyDescent="0.25">
      <c r="W226" s="2"/>
      <c r="X226" s="2"/>
    </row>
    <row r="227" spans="23:24" x14ac:dyDescent="0.25">
      <c r="W227" s="2"/>
      <c r="X227" s="2"/>
    </row>
    <row r="228" spans="23:24" x14ac:dyDescent="0.25">
      <c r="W228" s="2"/>
      <c r="X228" s="2"/>
    </row>
    <row r="229" spans="23:24" x14ac:dyDescent="0.25">
      <c r="W229" s="2"/>
      <c r="X229" s="2"/>
    </row>
    <row r="230" spans="23:24" x14ac:dyDescent="0.25">
      <c r="W230" s="2"/>
      <c r="X230" s="2"/>
    </row>
    <row r="231" spans="23:24" x14ac:dyDescent="0.25">
      <c r="W231" s="2"/>
      <c r="X231" s="2"/>
    </row>
    <row r="232" spans="23:24" x14ac:dyDescent="0.25">
      <c r="W232" s="2"/>
      <c r="X232" s="2"/>
    </row>
    <row r="233" spans="23:24" x14ac:dyDescent="0.25">
      <c r="W233" s="2"/>
      <c r="X233" s="2"/>
    </row>
    <row r="234" spans="23:24" x14ac:dyDescent="0.25">
      <c r="W234" s="2"/>
      <c r="X234" s="2"/>
    </row>
    <row r="235" spans="23:24" x14ac:dyDescent="0.25">
      <c r="W235" s="2"/>
      <c r="X235" s="2"/>
    </row>
    <row r="236" spans="23:24" x14ac:dyDescent="0.25">
      <c r="W236" s="2"/>
      <c r="X236" s="2"/>
    </row>
    <row r="237" spans="23:24" x14ac:dyDescent="0.25">
      <c r="W237" s="2"/>
      <c r="X237" s="2"/>
    </row>
    <row r="238" spans="23:24" x14ac:dyDescent="0.25">
      <c r="W238" s="2"/>
      <c r="X238" s="2"/>
    </row>
    <row r="239" spans="23:24" x14ac:dyDescent="0.25">
      <c r="W239" s="2"/>
      <c r="X239" s="2"/>
    </row>
    <row r="240" spans="23:24" x14ac:dyDescent="0.25">
      <c r="W240" s="2"/>
      <c r="X240" s="2"/>
    </row>
    <row r="241" spans="23:24" x14ac:dyDescent="0.25">
      <c r="W241" s="2"/>
      <c r="X241" s="2"/>
    </row>
    <row r="242" spans="23:24" x14ac:dyDescent="0.25">
      <c r="W242" s="2"/>
      <c r="X242" s="2"/>
    </row>
    <row r="243" spans="23:24" x14ac:dyDescent="0.25">
      <c r="W243" s="2"/>
      <c r="X243" s="2"/>
    </row>
    <row r="244" spans="23:24" x14ac:dyDescent="0.25">
      <c r="W244" s="2"/>
      <c r="X244" s="2"/>
    </row>
    <row r="245" spans="23:24" x14ac:dyDescent="0.25">
      <c r="W245" s="2"/>
      <c r="X245" s="2"/>
    </row>
    <row r="246" spans="23:24" x14ac:dyDescent="0.25">
      <c r="W246" s="2"/>
      <c r="X246" s="2"/>
    </row>
    <row r="247" spans="23:24" x14ac:dyDescent="0.25">
      <c r="W247" s="2"/>
      <c r="X247" s="2"/>
    </row>
    <row r="248" spans="23:24" x14ac:dyDescent="0.25">
      <c r="W248" s="2"/>
      <c r="X248" s="2"/>
    </row>
    <row r="249" spans="23:24" x14ac:dyDescent="0.25">
      <c r="W249" s="2"/>
      <c r="X249" s="2"/>
    </row>
    <row r="250" spans="23:24" x14ac:dyDescent="0.25">
      <c r="W250" s="2"/>
      <c r="X250" s="2"/>
    </row>
    <row r="251" spans="23:24" x14ac:dyDescent="0.25">
      <c r="W251" s="2"/>
      <c r="X251" s="2"/>
    </row>
    <row r="252" spans="23:24" x14ac:dyDescent="0.25">
      <c r="W252" s="2"/>
      <c r="X252" s="2"/>
    </row>
    <row r="253" spans="23:24" x14ac:dyDescent="0.25">
      <c r="W253" s="2"/>
      <c r="X253" s="2"/>
    </row>
    <row r="254" spans="23:24" x14ac:dyDescent="0.25">
      <c r="W254" s="2"/>
      <c r="X254" s="2"/>
    </row>
    <row r="255" spans="23:24" x14ac:dyDescent="0.25">
      <c r="W255" s="2"/>
      <c r="X255" s="2"/>
    </row>
    <row r="256" spans="23:24" x14ac:dyDescent="0.25">
      <c r="W256" s="2"/>
      <c r="X256" s="2"/>
    </row>
    <row r="257" spans="23:24" x14ac:dyDescent="0.25">
      <c r="W257" s="2"/>
      <c r="X257" s="2"/>
    </row>
    <row r="258" spans="23:24" x14ac:dyDescent="0.25">
      <c r="W258" s="2"/>
      <c r="X258" s="2"/>
    </row>
    <row r="259" spans="23:24" x14ac:dyDescent="0.25">
      <c r="W259" s="2"/>
      <c r="X259" s="2"/>
    </row>
    <row r="260" spans="23:24" x14ac:dyDescent="0.25">
      <c r="W260" s="2"/>
      <c r="X260" s="2"/>
    </row>
    <row r="261" spans="23:24" x14ac:dyDescent="0.25">
      <c r="W261" s="2"/>
      <c r="X261" s="2"/>
    </row>
    <row r="262" spans="23:24" x14ac:dyDescent="0.25">
      <c r="W262" s="2"/>
      <c r="X262" s="2"/>
    </row>
    <row r="263" spans="23:24" x14ac:dyDescent="0.25">
      <c r="W263" s="2"/>
      <c r="X263" s="2"/>
    </row>
    <row r="264" spans="23:24" x14ac:dyDescent="0.25">
      <c r="W264" s="2"/>
      <c r="X264" s="2"/>
    </row>
    <row r="265" spans="23:24" x14ac:dyDescent="0.25">
      <c r="W265" s="2"/>
      <c r="X265" s="2"/>
    </row>
    <row r="266" spans="23:24" x14ac:dyDescent="0.25">
      <c r="W266" s="2"/>
      <c r="X266" s="2"/>
    </row>
    <row r="267" spans="23:24" x14ac:dyDescent="0.25">
      <c r="W267" s="2"/>
      <c r="X267" s="2"/>
    </row>
    <row r="268" spans="23:24" x14ac:dyDescent="0.25">
      <c r="W268" s="2"/>
      <c r="X268" s="2"/>
    </row>
    <row r="269" spans="23:24" x14ac:dyDescent="0.25">
      <c r="W269" s="2"/>
      <c r="X269" s="2"/>
    </row>
    <row r="270" spans="23:24" x14ac:dyDescent="0.25">
      <c r="W270" s="2"/>
      <c r="X270" s="2"/>
    </row>
    <row r="271" spans="23:24" x14ac:dyDescent="0.25">
      <c r="W271" s="2"/>
      <c r="X271" s="2"/>
    </row>
    <row r="272" spans="23:24" x14ac:dyDescent="0.25">
      <c r="W272" s="2"/>
      <c r="X272" s="2"/>
    </row>
    <row r="273" spans="23:24" x14ac:dyDescent="0.25">
      <c r="W273" s="2"/>
      <c r="X273" s="2"/>
    </row>
    <row r="274" spans="23:24" x14ac:dyDescent="0.25">
      <c r="W274" s="2"/>
      <c r="X274" s="2"/>
    </row>
    <row r="275" spans="23:24" x14ac:dyDescent="0.25">
      <c r="W275" s="2"/>
      <c r="X275" s="2"/>
    </row>
    <row r="276" spans="23:24" x14ac:dyDescent="0.25">
      <c r="W276" s="2"/>
      <c r="X276" s="2"/>
    </row>
    <row r="277" spans="23:24" x14ac:dyDescent="0.25">
      <c r="W277" s="2"/>
      <c r="X277" s="2"/>
    </row>
    <row r="278" spans="23:24" x14ac:dyDescent="0.25">
      <c r="W278" s="2"/>
      <c r="X278" s="2"/>
    </row>
    <row r="279" spans="23:24" x14ac:dyDescent="0.25">
      <c r="W279" s="2"/>
      <c r="X279" s="2"/>
    </row>
    <row r="280" spans="23:24" x14ac:dyDescent="0.25">
      <c r="W280" s="2"/>
      <c r="X280" s="2"/>
    </row>
    <row r="281" spans="23:24" x14ac:dyDescent="0.25">
      <c r="W281" s="2"/>
      <c r="X281" s="2"/>
    </row>
    <row r="282" spans="23:24" x14ac:dyDescent="0.25">
      <c r="W282" s="2"/>
      <c r="X282" s="2"/>
    </row>
    <row r="283" spans="23:24" x14ac:dyDescent="0.25">
      <c r="W283" s="2"/>
      <c r="X283" s="2"/>
    </row>
    <row r="284" spans="23:24" x14ac:dyDescent="0.25">
      <c r="W284" s="2"/>
      <c r="X284" s="2"/>
    </row>
    <row r="285" spans="23:24" x14ac:dyDescent="0.25">
      <c r="W285" s="2"/>
      <c r="X285" s="2"/>
    </row>
    <row r="286" spans="23:24" x14ac:dyDescent="0.25">
      <c r="W286" s="2"/>
      <c r="X286" s="2"/>
    </row>
    <row r="287" spans="23:24" x14ac:dyDescent="0.25">
      <c r="W287" s="2"/>
      <c r="X287" s="2"/>
    </row>
    <row r="288" spans="23:24" x14ac:dyDescent="0.25">
      <c r="W288" s="2"/>
      <c r="X288" s="2"/>
    </row>
    <row r="289" spans="23:24" x14ac:dyDescent="0.25">
      <c r="W289" s="2"/>
      <c r="X289" s="2"/>
    </row>
    <row r="290" spans="23:24" x14ac:dyDescent="0.25">
      <c r="W290" s="2"/>
      <c r="X290" s="2"/>
    </row>
    <row r="291" spans="23:24" x14ac:dyDescent="0.25">
      <c r="W291" s="2"/>
      <c r="X291" s="2"/>
    </row>
    <row r="292" spans="23:24" x14ac:dyDescent="0.25">
      <c r="W292" s="2"/>
      <c r="X292" s="2"/>
    </row>
    <row r="293" spans="23:24" x14ac:dyDescent="0.25">
      <c r="W293" s="2"/>
      <c r="X293" s="2"/>
    </row>
    <row r="294" spans="23:24" x14ac:dyDescent="0.25">
      <c r="W294" s="2"/>
      <c r="X294" s="2"/>
    </row>
    <row r="295" spans="23:24" x14ac:dyDescent="0.25">
      <c r="W295" s="2"/>
      <c r="X295" s="2"/>
    </row>
    <row r="296" spans="23:24" x14ac:dyDescent="0.25">
      <c r="W296" s="2"/>
      <c r="X296" s="2"/>
    </row>
    <row r="297" spans="23:24" x14ac:dyDescent="0.25">
      <c r="W297" s="2"/>
      <c r="X297" s="2"/>
    </row>
    <row r="298" spans="23:24" x14ac:dyDescent="0.25">
      <c r="W298" s="2"/>
      <c r="X298" s="2"/>
    </row>
    <row r="299" spans="23:24" x14ac:dyDescent="0.25">
      <c r="W299" s="2"/>
      <c r="X299" s="2"/>
    </row>
    <row r="300" spans="23:24" x14ac:dyDescent="0.25">
      <c r="W300" s="2"/>
      <c r="X300" s="2"/>
    </row>
    <row r="301" spans="23:24" x14ac:dyDescent="0.25">
      <c r="W301" s="2"/>
      <c r="X301" s="2"/>
    </row>
    <row r="302" spans="23:24" x14ac:dyDescent="0.25">
      <c r="W302" s="2"/>
      <c r="X302" s="2"/>
    </row>
    <row r="303" spans="23:24" x14ac:dyDescent="0.25">
      <c r="W303" s="2"/>
      <c r="X303" s="2"/>
    </row>
    <row r="304" spans="23:24" x14ac:dyDescent="0.25">
      <c r="W304" s="2"/>
      <c r="X304" s="2"/>
    </row>
    <row r="305" spans="23:24" x14ac:dyDescent="0.25">
      <c r="W305" s="2"/>
      <c r="X305" s="2"/>
    </row>
    <row r="306" spans="23:24" x14ac:dyDescent="0.25">
      <c r="W306" s="2"/>
      <c r="X306" s="2"/>
    </row>
    <row r="307" spans="23:24" x14ac:dyDescent="0.25">
      <c r="W307" s="2"/>
      <c r="X307" s="2"/>
    </row>
    <row r="308" spans="23:24" x14ac:dyDescent="0.25">
      <c r="W308" s="2"/>
      <c r="X308" s="2"/>
    </row>
    <row r="309" spans="23:24" x14ac:dyDescent="0.25">
      <c r="W309" s="2"/>
      <c r="X309" s="2"/>
    </row>
    <row r="310" spans="23:24" x14ac:dyDescent="0.25">
      <c r="W310" s="2"/>
      <c r="X310" s="2"/>
    </row>
    <row r="311" spans="23:24" x14ac:dyDescent="0.25">
      <c r="W311" s="2"/>
      <c r="X311" s="2"/>
    </row>
    <row r="312" spans="23:24" x14ac:dyDescent="0.25">
      <c r="W312" s="2"/>
      <c r="X312" s="2"/>
    </row>
    <row r="313" spans="23:24" x14ac:dyDescent="0.25">
      <c r="W313" s="2"/>
      <c r="X313" s="2"/>
    </row>
    <row r="314" spans="23:24" x14ac:dyDescent="0.25">
      <c r="W314" s="2"/>
      <c r="X314" s="2"/>
    </row>
    <row r="315" spans="23:24" x14ac:dyDescent="0.25">
      <c r="W315" s="2"/>
      <c r="X315" s="2"/>
    </row>
    <row r="316" spans="23:24" x14ac:dyDescent="0.25">
      <c r="W316" s="2"/>
      <c r="X316" s="2"/>
    </row>
    <row r="317" spans="23:24" x14ac:dyDescent="0.25">
      <c r="W317" s="2"/>
      <c r="X317" s="2"/>
    </row>
    <row r="318" spans="23:24" x14ac:dyDescent="0.25">
      <c r="W318" s="2"/>
      <c r="X318" s="2"/>
    </row>
    <row r="319" spans="23:24" x14ac:dyDescent="0.25">
      <c r="W319" s="2"/>
      <c r="X319" s="2"/>
    </row>
    <row r="320" spans="23:24" x14ac:dyDescent="0.25">
      <c r="W320" s="2"/>
      <c r="X320" s="2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D1:AQ320"/>
  <sheetViews>
    <sheetView showGridLines="0" workbookViewId="0"/>
  </sheetViews>
  <sheetFormatPr defaultRowHeight="15" outlineLevelCol="1" x14ac:dyDescent="0.25"/>
  <cols>
    <col min="2" max="2" width="27.140625" bestFit="1" customWidth="1"/>
    <col min="3" max="3" width="12.7109375" customWidth="1"/>
    <col min="14" max="14" width="12.85546875" customWidth="1"/>
    <col min="16" max="16" width="16.140625" bestFit="1" customWidth="1"/>
    <col min="20" max="21" width="12.42578125" customWidth="1" outlineLevel="1"/>
    <col min="22" max="24" width="12.7109375" style="1" customWidth="1" outlineLevel="1"/>
    <col min="25" max="25" width="12.7109375" customWidth="1" outlineLevel="1"/>
    <col min="26" max="26" width="18.42578125" bestFit="1" customWidth="1"/>
    <col min="27" max="27" width="10.7109375" customWidth="1" outlineLevel="1"/>
    <col min="28" max="28" width="27.140625" customWidth="1" outlineLevel="1"/>
    <col min="29" max="29" width="12.140625" customWidth="1" outlineLevel="1"/>
    <col min="30" max="30" width="10.7109375" customWidth="1" outlineLevel="1"/>
    <col min="31" max="31" width="18.85546875" customWidth="1" outlineLevel="1"/>
    <col min="32" max="32" width="24.140625" bestFit="1" customWidth="1"/>
    <col min="33" max="33" width="9.140625" customWidth="1" outlineLevel="1"/>
    <col min="34" max="34" width="26" customWidth="1" outlineLevel="1"/>
    <col min="35" max="36" width="9.140625" customWidth="1" outlineLevel="1"/>
    <col min="37" max="37" width="15.140625" customWidth="1" outlineLevel="1"/>
    <col min="38" max="38" width="16.28515625" customWidth="1" outlineLevel="1"/>
    <col min="39" max="39" width="9.140625" customWidth="1" outlineLevel="1"/>
    <col min="40" max="40" width="9.42578125" customWidth="1" outlineLevel="1"/>
    <col min="41" max="42" width="9.140625" customWidth="1" outlineLevel="1"/>
    <col min="43" max="43" width="18.28515625" bestFit="1" customWidth="1"/>
  </cols>
  <sheetData>
    <row r="1" spans="4:43" x14ac:dyDescent="0.25">
      <c r="Z1" s="38" t="s">
        <v>104</v>
      </c>
      <c r="AF1" s="38" t="s">
        <v>105</v>
      </c>
      <c r="AP1" s="92"/>
      <c r="AQ1" s="92" t="s">
        <v>103</v>
      </c>
    </row>
    <row r="2" spans="4:43" x14ac:dyDescent="0.25">
      <c r="D2" s="73"/>
      <c r="N2" s="13" t="s">
        <v>113</v>
      </c>
      <c r="O2" s="13"/>
      <c r="T2" s="13" t="s">
        <v>110</v>
      </c>
      <c r="U2" s="13"/>
      <c r="AC2" s="1"/>
      <c r="AD2" s="1"/>
      <c r="AH2" s="13" t="s">
        <v>13</v>
      </c>
    </row>
    <row r="3" spans="4:43" x14ac:dyDescent="0.25">
      <c r="U3" s="118" t="s">
        <v>118</v>
      </c>
      <c r="V3" s="118" t="s">
        <v>69</v>
      </c>
      <c r="W3" s="118" t="s">
        <v>68</v>
      </c>
      <c r="X3" s="118" t="s">
        <v>109</v>
      </c>
      <c r="Y3" s="118" t="s">
        <v>119</v>
      </c>
      <c r="AB3" s="13" t="s">
        <v>112</v>
      </c>
      <c r="AC3" s="13"/>
      <c r="AH3" t="s">
        <v>14</v>
      </c>
      <c r="AI3" s="1" t="s">
        <v>0</v>
      </c>
      <c r="AJ3" s="2" t="s">
        <v>1</v>
      </c>
      <c r="AK3" s="67" t="s">
        <v>16</v>
      </c>
      <c r="AL3" s="67" t="s">
        <v>17</v>
      </c>
      <c r="AM3" s="2"/>
    </row>
    <row r="4" spans="4:43" ht="15.75" thickBot="1" x14ac:dyDescent="0.3">
      <c r="N4" s="114" t="s">
        <v>14</v>
      </c>
      <c r="O4" s="1" t="s">
        <v>0</v>
      </c>
      <c r="P4" s="1" t="s">
        <v>124</v>
      </c>
      <c r="T4" s="1" t="s">
        <v>0</v>
      </c>
      <c r="U4" s="1" t="s">
        <v>114</v>
      </c>
      <c r="V4" s="44" t="s">
        <v>106</v>
      </c>
      <c r="W4" s="44" t="s">
        <v>107</v>
      </c>
      <c r="X4" s="44" t="s">
        <v>108</v>
      </c>
      <c r="Y4" s="1"/>
      <c r="AH4" s="5" t="s">
        <v>47</v>
      </c>
      <c r="AI4" s="66" t="s">
        <v>43</v>
      </c>
      <c r="AJ4" s="75">
        <v>2.12</v>
      </c>
      <c r="AK4" s="67"/>
      <c r="AL4" s="67"/>
      <c r="AM4" s="67"/>
    </row>
    <row r="5" spans="4:43" ht="15.75" thickBot="1" x14ac:dyDescent="0.3">
      <c r="N5" s="127" t="s">
        <v>114</v>
      </c>
      <c r="O5" s="128">
        <f t="shared" ref="O5:P9" si="0">AC6</f>
        <v>0</v>
      </c>
      <c r="P5" s="129">
        <f t="shared" si="0"/>
        <v>2.12</v>
      </c>
      <c r="T5" s="87">
        <f>AC6</f>
        <v>0</v>
      </c>
      <c r="U5" s="89">
        <f>AD6</f>
        <v>2.12</v>
      </c>
      <c r="V5" s="89"/>
      <c r="W5" s="88"/>
      <c r="X5" s="88"/>
      <c r="Y5" s="88"/>
      <c r="AB5" s="114" t="s">
        <v>14</v>
      </c>
      <c r="AC5" s="115" t="s">
        <v>89</v>
      </c>
      <c r="AD5" s="115" t="s">
        <v>1</v>
      </c>
      <c r="AE5" s="114" t="s">
        <v>102</v>
      </c>
      <c r="AH5" s="5" t="s">
        <v>48</v>
      </c>
      <c r="AI5" s="66" t="s">
        <v>19</v>
      </c>
      <c r="AJ5" s="75">
        <v>2.2126600000000001</v>
      </c>
      <c r="AK5" s="68">
        <v>43726</v>
      </c>
      <c r="AL5" s="68">
        <f>AK6</f>
        <v>43768</v>
      </c>
      <c r="AM5" s="67"/>
    </row>
    <row r="6" spans="4:43" x14ac:dyDescent="0.25">
      <c r="N6" s="127" t="s">
        <v>115</v>
      </c>
      <c r="O6" s="128">
        <f t="shared" si="0"/>
        <v>2.1917808219178082E-2</v>
      </c>
      <c r="P6" s="129">
        <f t="shared" si="0"/>
        <v>2.2126600000000001</v>
      </c>
      <c r="T6" s="78">
        <f>AC7</f>
        <v>2.1917808219178082E-2</v>
      </c>
      <c r="U6" s="79">
        <f>V6</f>
        <v>2.2126600000000001</v>
      </c>
      <c r="V6" s="79">
        <f>AD7</f>
        <v>2.2126600000000001</v>
      </c>
      <c r="W6" s="65"/>
      <c r="X6" s="65"/>
      <c r="Y6" s="116" t="s">
        <v>67</v>
      </c>
      <c r="AB6" t="s">
        <v>114</v>
      </c>
      <c r="AC6" s="6">
        <v>0</v>
      </c>
      <c r="AD6" s="73">
        <f>AD32</f>
        <v>2.12</v>
      </c>
      <c r="AE6" t="s">
        <v>64</v>
      </c>
      <c r="AH6" s="5" t="s">
        <v>48</v>
      </c>
      <c r="AI6" s="66" t="s">
        <v>20</v>
      </c>
      <c r="AJ6" s="75">
        <v>1.8598699999999999</v>
      </c>
      <c r="AK6" s="68">
        <v>43768</v>
      </c>
      <c r="AL6" s="68">
        <f>AK7</f>
        <v>43810</v>
      </c>
      <c r="AM6" s="67"/>
    </row>
    <row r="7" spans="4:43" x14ac:dyDescent="0.25">
      <c r="N7" s="127" t="s">
        <v>115</v>
      </c>
      <c r="O7" s="128">
        <f t="shared" si="0"/>
        <v>0.13698630136986301</v>
      </c>
      <c r="P7" s="129">
        <f t="shared" si="0"/>
        <v>1.8598699999999999</v>
      </c>
      <c r="T7" s="80">
        <f t="shared" ref="T7:T28" si="1">T6+0.005</f>
        <v>2.6917808219178083E-2</v>
      </c>
      <c r="U7" s="80"/>
      <c r="V7" s="81">
        <f t="shared" ref="V7:V28" si="2">$V$6+Y7</f>
        <v>2.2126600000000001</v>
      </c>
      <c r="W7" s="65"/>
      <c r="X7" s="65"/>
      <c r="Y7" s="117"/>
      <c r="AB7" t="s">
        <v>48</v>
      </c>
      <c r="AC7" s="6">
        <v>2.1917808219178082E-2</v>
      </c>
      <c r="AD7" s="73">
        <f>AJ5</f>
        <v>2.2126600000000001</v>
      </c>
      <c r="AE7" t="s">
        <v>63</v>
      </c>
      <c r="AH7" s="5" t="s">
        <v>48</v>
      </c>
      <c r="AI7" s="66" t="s">
        <v>21</v>
      </c>
      <c r="AJ7" s="75">
        <v>1.5793900000000001</v>
      </c>
      <c r="AK7" s="68">
        <v>43810</v>
      </c>
      <c r="AL7" s="68">
        <v>43494</v>
      </c>
      <c r="AM7" s="67"/>
    </row>
    <row r="8" spans="4:43" x14ac:dyDescent="0.25">
      <c r="N8" s="127" t="s">
        <v>115</v>
      </c>
      <c r="O8" s="128">
        <f t="shared" si="0"/>
        <v>0.25205479452054796</v>
      </c>
      <c r="P8" s="129">
        <f t="shared" si="0"/>
        <v>1.5793900000000001</v>
      </c>
      <c r="R8" s="1"/>
      <c r="T8" s="80">
        <f t="shared" si="1"/>
        <v>3.1917808219178084E-2</v>
      </c>
      <c r="U8" s="80"/>
      <c r="V8" s="81">
        <f t="shared" si="2"/>
        <v>2.2126600000000001</v>
      </c>
      <c r="W8" s="65"/>
      <c r="X8" s="65"/>
      <c r="Y8" s="117"/>
      <c r="AB8" t="s">
        <v>48</v>
      </c>
      <c r="AC8" s="6">
        <v>0.13698630136986301</v>
      </c>
      <c r="AD8" s="73">
        <f>AJ6</f>
        <v>1.8598699999999999</v>
      </c>
      <c r="AE8" t="s">
        <v>63</v>
      </c>
      <c r="AH8" s="5" t="s">
        <v>48</v>
      </c>
      <c r="AI8" s="66" t="s">
        <v>62</v>
      </c>
      <c r="AJ8" s="75">
        <v>1.3886000000000001</v>
      </c>
      <c r="AK8" s="68">
        <v>43859</v>
      </c>
      <c r="AL8" s="68">
        <v>43908</v>
      </c>
      <c r="AM8" s="67"/>
    </row>
    <row r="9" spans="4:43" x14ac:dyDescent="0.25">
      <c r="N9" s="127" t="s">
        <v>115</v>
      </c>
      <c r="O9" s="128">
        <f t="shared" si="0"/>
        <v>0.38630136986301372</v>
      </c>
      <c r="P9" s="129">
        <f t="shared" si="0"/>
        <v>1.3886000000000001</v>
      </c>
      <c r="R9" s="124" t="s">
        <v>126</v>
      </c>
      <c r="T9" s="80">
        <f t="shared" si="1"/>
        <v>3.6917808219178082E-2</v>
      </c>
      <c r="U9" s="80"/>
      <c r="V9" s="81">
        <f t="shared" si="2"/>
        <v>2.2126600000000001</v>
      </c>
      <c r="W9" s="65"/>
      <c r="X9" s="65"/>
      <c r="Y9" s="117"/>
      <c r="AB9" t="s">
        <v>48</v>
      </c>
      <c r="AC9" s="6">
        <v>0.25205479452054796</v>
      </c>
      <c r="AD9" s="73">
        <f>AJ7</f>
        <v>1.5793900000000001</v>
      </c>
      <c r="AE9" t="s">
        <v>63</v>
      </c>
      <c r="AH9" s="5"/>
      <c r="AI9" s="66"/>
      <c r="AJ9" s="67"/>
      <c r="AK9" s="67"/>
      <c r="AL9" s="67"/>
      <c r="AM9" s="67"/>
    </row>
    <row r="10" spans="4:43" x14ac:dyDescent="0.25">
      <c r="N10" s="127" t="str">
        <f t="shared" ref="N10:N20" si="3">$AB$15</f>
        <v xml:space="preserve">SOFR Swap </v>
      </c>
      <c r="O10" s="128">
        <v>1</v>
      </c>
      <c r="P10" s="129">
        <f>AD13</f>
        <v>1.1595</v>
      </c>
      <c r="R10" s="124" t="s">
        <v>127</v>
      </c>
      <c r="T10" s="80">
        <f t="shared" si="1"/>
        <v>4.1917808219178079E-2</v>
      </c>
      <c r="U10" s="80"/>
      <c r="V10" s="81">
        <f t="shared" si="2"/>
        <v>2.4126600000000002</v>
      </c>
      <c r="W10" s="65"/>
      <c r="X10" s="65"/>
      <c r="Y10" s="117">
        <v>0.2</v>
      </c>
      <c r="AB10" t="s">
        <v>48</v>
      </c>
      <c r="AC10" s="6">
        <v>0.38630136986301372</v>
      </c>
      <c r="AD10" s="73">
        <f>AJ8</f>
        <v>1.3886000000000001</v>
      </c>
      <c r="AE10" t="s">
        <v>63</v>
      </c>
      <c r="AH10" s="32" t="s">
        <v>15</v>
      </c>
      <c r="AI10" s="66"/>
      <c r="AJ10" s="67"/>
      <c r="AK10" s="67"/>
      <c r="AL10" s="67"/>
      <c r="AM10" s="67"/>
    </row>
    <row r="11" spans="4:43" x14ac:dyDescent="0.25">
      <c r="N11" s="127" t="str">
        <f t="shared" si="3"/>
        <v xml:space="preserve">SOFR Swap </v>
      </c>
      <c r="O11" s="128">
        <v>2</v>
      </c>
      <c r="P11" s="129">
        <f>AVERAGE(P10,P12)</f>
        <v>1.192545</v>
      </c>
      <c r="R11" s="125">
        <v>0.1</v>
      </c>
      <c r="T11" s="80">
        <f t="shared" si="1"/>
        <v>4.6917808219178077E-2</v>
      </c>
      <c r="U11" s="80"/>
      <c r="V11" s="81">
        <f t="shared" si="2"/>
        <v>2.2126600000000001</v>
      </c>
      <c r="W11" s="65"/>
      <c r="X11" s="65"/>
      <c r="Y11" s="117"/>
      <c r="AB11" t="str">
        <f t="shared" ref="AB11:AB23" si="4">AB37</f>
        <v>Future 5</v>
      </c>
      <c r="AC11" s="6">
        <v>0.52054794520547942</v>
      </c>
      <c r="AD11" s="73">
        <f>AO12</f>
        <v>1.3025199999999999</v>
      </c>
      <c r="AE11" t="s">
        <v>64</v>
      </c>
      <c r="AH11" s="5" t="s">
        <v>14</v>
      </c>
      <c r="AI11" s="66" t="s">
        <v>0</v>
      </c>
      <c r="AJ11" s="67" t="s">
        <v>1</v>
      </c>
      <c r="AK11" s="67" t="s">
        <v>16</v>
      </c>
      <c r="AL11" s="67" t="s">
        <v>17</v>
      </c>
      <c r="AM11" s="67" t="s">
        <v>18</v>
      </c>
      <c r="AO11" s="72" t="s">
        <v>1</v>
      </c>
    </row>
    <row r="12" spans="4:43" x14ac:dyDescent="0.25">
      <c r="N12" s="127" t="str">
        <f t="shared" si="3"/>
        <v xml:space="preserve">SOFR Swap </v>
      </c>
      <c r="O12" s="128">
        <f t="shared" ref="O12:O20" si="5">AC15</f>
        <v>3</v>
      </c>
      <c r="P12" s="129">
        <f t="shared" ref="P12:P14" si="6">AD15</f>
        <v>1.22559</v>
      </c>
      <c r="T12" s="80">
        <f t="shared" si="1"/>
        <v>5.1917808219178074E-2</v>
      </c>
      <c r="U12" s="80"/>
      <c r="V12" s="81">
        <f t="shared" si="2"/>
        <v>2.2126600000000001</v>
      </c>
      <c r="W12" s="65"/>
      <c r="X12" s="65"/>
      <c r="Y12" s="117"/>
      <c r="AB12" t="str">
        <f t="shared" si="4"/>
        <v>Future 6</v>
      </c>
      <c r="AC12" s="6">
        <v>0.76986301369863008</v>
      </c>
      <c r="AD12" s="73">
        <f>AO13</f>
        <v>1.2061500000000001</v>
      </c>
      <c r="AE12" t="s">
        <v>64</v>
      </c>
      <c r="AH12" s="5" t="s">
        <v>46</v>
      </c>
      <c r="AI12" s="66" t="s">
        <v>22</v>
      </c>
      <c r="AJ12" s="70">
        <v>98.71</v>
      </c>
      <c r="AK12" s="68">
        <v>43908</v>
      </c>
      <c r="AL12" s="68">
        <v>43999</v>
      </c>
      <c r="AM12" s="67">
        <v>-2.2699999999999999E-3</v>
      </c>
      <c r="AN12" s="14"/>
      <c r="AO12" s="73">
        <v>1.3025199999999999</v>
      </c>
    </row>
    <row r="13" spans="4:43" x14ac:dyDescent="0.25">
      <c r="N13" s="127" t="str">
        <f t="shared" si="3"/>
        <v xml:space="preserve">SOFR Swap </v>
      </c>
      <c r="O13" s="128">
        <f t="shared" si="5"/>
        <v>5</v>
      </c>
      <c r="P13" s="129">
        <f t="shared" si="6"/>
        <v>1.20502</v>
      </c>
      <c r="R13" s="124"/>
      <c r="T13" s="80">
        <f t="shared" si="1"/>
        <v>5.6917808219178072E-2</v>
      </c>
      <c r="U13" s="80"/>
      <c r="V13" s="81">
        <f t="shared" si="2"/>
        <v>2.2126600000000001</v>
      </c>
      <c r="W13" s="65"/>
      <c r="X13" s="65"/>
      <c r="Y13" s="117"/>
      <c r="AB13" t="str">
        <f t="shared" si="4"/>
        <v>Future 7</v>
      </c>
      <c r="AC13" s="6">
        <v>1.0191780821917809</v>
      </c>
      <c r="AD13" s="73">
        <f>AO14</f>
        <v>1.1595</v>
      </c>
      <c r="AE13" t="s">
        <v>64</v>
      </c>
      <c r="AH13" s="5" t="s">
        <v>49</v>
      </c>
      <c r="AI13" s="66" t="s">
        <v>23</v>
      </c>
      <c r="AJ13" s="70">
        <v>98.795000000000002</v>
      </c>
      <c r="AK13" s="68">
        <v>43999</v>
      </c>
      <c r="AL13" s="68">
        <v>44090</v>
      </c>
      <c r="AM13" s="67">
        <v>-3.5100000000000001E-3</v>
      </c>
      <c r="AO13" s="73">
        <v>1.2061500000000001</v>
      </c>
    </row>
    <row r="14" spans="4:43" x14ac:dyDescent="0.25">
      <c r="N14" s="127" t="str">
        <f t="shared" si="3"/>
        <v xml:space="preserve">SOFR Swap </v>
      </c>
      <c r="O14" s="128">
        <f t="shared" si="5"/>
        <v>7</v>
      </c>
      <c r="P14" s="129">
        <f t="shared" si="6"/>
        <v>1.23028</v>
      </c>
      <c r="R14" s="124" t="s">
        <v>125</v>
      </c>
      <c r="T14" s="80">
        <f t="shared" si="1"/>
        <v>6.1917808219178069E-2</v>
      </c>
      <c r="U14" s="80"/>
      <c r="V14" s="81">
        <f t="shared" si="2"/>
        <v>2.2126600000000001</v>
      </c>
      <c r="W14" s="65"/>
      <c r="X14" s="65"/>
      <c r="Y14" s="117"/>
      <c r="AB14" t="str">
        <f t="shared" si="4"/>
        <v>Future 8</v>
      </c>
      <c r="AC14" s="6">
        <v>1.2684931506849315</v>
      </c>
      <c r="AD14" s="73">
        <f>AO15</f>
        <v>1.1832299999999978</v>
      </c>
      <c r="AE14" t="s">
        <v>64</v>
      </c>
      <c r="AH14" s="5" t="s">
        <v>50</v>
      </c>
      <c r="AI14" s="66" t="s">
        <v>24</v>
      </c>
      <c r="AJ14" s="70">
        <v>98.834999999999994</v>
      </c>
      <c r="AK14" s="68">
        <v>44090</v>
      </c>
      <c r="AL14" s="68">
        <v>44181</v>
      </c>
      <c r="AM14" s="67">
        <v>-5.0200000000000002E-3</v>
      </c>
      <c r="AO14" s="73">
        <v>1.1595</v>
      </c>
    </row>
    <row r="15" spans="4:43" x14ac:dyDescent="0.25">
      <c r="N15" s="127" t="str">
        <f t="shared" si="3"/>
        <v xml:space="preserve">SOFR Swap </v>
      </c>
      <c r="O15" s="128">
        <f t="shared" si="5"/>
        <v>10</v>
      </c>
      <c r="P15" s="129">
        <f t="shared" ref="P15:P20" si="7">AD18+$R$11*R15</f>
        <v>1.30071</v>
      </c>
      <c r="Q15" s="122" t="s">
        <v>120</v>
      </c>
      <c r="R15" s="123">
        <v>0.1</v>
      </c>
      <c r="T15" s="80">
        <f t="shared" si="1"/>
        <v>6.6917808219178074E-2</v>
      </c>
      <c r="U15" s="80"/>
      <c r="V15" s="81">
        <f t="shared" si="2"/>
        <v>2.2126600000000001</v>
      </c>
      <c r="W15" s="65"/>
      <c r="X15" s="65"/>
      <c r="Y15" s="117"/>
      <c r="AB15" t="str">
        <f t="shared" si="4"/>
        <v xml:space="preserve">SOFR Swap </v>
      </c>
      <c r="AC15" s="1">
        <v>3</v>
      </c>
      <c r="AD15" s="73">
        <f t="shared" ref="AD15:AD23" si="8">AD41</f>
        <v>1.22559</v>
      </c>
      <c r="AE15" t="s">
        <v>65</v>
      </c>
      <c r="AH15" s="5" t="s">
        <v>51</v>
      </c>
      <c r="AI15" s="66" t="s">
        <v>25</v>
      </c>
      <c r="AJ15" s="70">
        <v>98.81</v>
      </c>
      <c r="AK15" s="68">
        <v>44181</v>
      </c>
      <c r="AL15" s="68">
        <v>44272</v>
      </c>
      <c r="AM15" s="67">
        <v>-6.77E-3</v>
      </c>
      <c r="AO15" s="73">
        <v>1.1832299999999978</v>
      </c>
    </row>
    <row r="16" spans="4:43" x14ac:dyDescent="0.25">
      <c r="N16" s="127" t="str">
        <f t="shared" si="3"/>
        <v xml:space="preserve">SOFR Swap </v>
      </c>
      <c r="O16" s="128">
        <f t="shared" si="5"/>
        <v>15</v>
      </c>
      <c r="P16" s="129">
        <f t="shared" si="7"/>
        <v>1.3934899999999999</v>
      </c>
      <c r="Q16" s="122" t="s">
        <v>120</v>
      </c>
      <c r="R16" s="123">
        <v>0.25</v>
      </c>
      <c r="S16" s="122"/>
      <c r="T16" s="80">
        <f t="shared" si="1"/>
        <v>7.1917808219178078E-2</v>
      </c>
      <c r="U16" s="80"/>
      <c r="V16" s="81">
        <f t="shared" si="2"/>
        <v>2.2126600000000001</v>
      </c>
      <c r="W16" s="65"/>
      <c r="X16" s="65"/>
      <c r="Y16" s="117"/>
      <c r="AB16" t="str">
        <f t="shared" si="4"/>
        <v xml:space="preserve">SOFR Swap </v>
      </c>
      <c r="AC16" s="1">
        <v>5</v>
      </c>
      <c r="AD16" s="73">
        <f t="shared" si="8"/>
        <v>1.20502</v>
      </c>
      <c r="AE16" t="s">
        <v>65</v>
      </c>
      <c r="AH16" s="5"/>
      <c r="AI16" s="66"/>
      <c r="AJ16" s="70"/>
      <c r="AK16" s="67"/>
      <c r="AL16" s="67"/>
      <c r="AM16" s="67"/>
    </row>
    <row r="17" spans="14:41" x14ac:dyDescent="0.25">
      <c r="N17" s="127" t="str">
        <f t="shared" si="3"/>
        <v xml:space="preserve">SOFR Swap </v>
      </c>
      <c r="O17" s="128">
        <f t="shared" si="5"/>
        <v>20</v>
      </c>
      <c r="P17" s="129">
        <f t="shared" si="7"/>
        <v>1.46102</v>
      </c>
      <c r="Q17" s="122" t="s">
        <v>120</v>
      </c>
      <c r="R17" s="123">
        <v>0.5</v>
      </c>
      <c r="S17" s="122"/>
      <c r="T17" s="80">
        <f t="shared" si="1"/>
        <v>7.6917808219178083E-2</v>
      </c>
      <c r="U17" s="80"/>
      <c r="V17" s="81">
        <f t="shared" si="2"/>
        <v>2.2126600000000001</v>
      </c>
      <c r="W17" s="65"/>
      <c r="X17" s="65"/>
      <c r="Y17" s="117"/>
      <c r="AB17" t="str">
        <f t="shared" si="4"/>
        <v xml:space="preserve">SOFR Swap </v>
      </c>
      <c r="AC17" s="1">
        <v>7</v>
      </c>
      <c r="AD17" s="73">
        <f t="shared" si="8"/>
        <v>1.23028</v>
      </c>
      <c r="AE17" t="s">
        <v>65</v>
      </c>
      <c r="AH17" s="32" t="s">
        <v>26</v>
      </c>
      <c r="AI17" s="66"/>
      <c r="AJ17" s="67"/>
      <c r="AK17" s="67"/>
      <c r="AL17" s="67"/>
      <c r="AM17" s="67"/>
    </row>
    <row r="18" spans="14:41" x14ac:dyDescent="0.25">
      <c r="N18" s="127" t="str">
        <f t="shared" si="3"/>
        <v xml:space="preserve">SOFR Swap </v>
      </c>
      <c r="O18" s="128">
        <f t="shared" si="5"/>
        <v>30</v>
      </c>
      <c r="P18" s="129">
        <f t="shared" si="7"/>
        <v>1.4963499999999998</v>
      </c>
      <c r="Q18" s="122" t="s">
        <v>121</v>
      </c>
      <c r="R18" s="123">
        <v>0.75</v>
      </c>
      <c r="S18" s="122"/>
      <c r="T18" s="80">
        <f t="shared" si="1"/>
        <v>8.1917808219178087E-2</v>
      </c>
      <c r="U18" s="80"/>
      <c r="V18" s="81">
        <f t="shared" si="2"/>
        <v>2.2126600000000001</v>
      </c>
      <c r="W18" s="65"/>
      <c r="X18" s="65"/>
      <c r="Y18" s="117"/>
      <c r="AB18" t="str">
        <f t="shared" si="4"/>
        <v>SOFR-OIS Basis Swap</v>
      </c>
      <c r="AC18" s="1">
        <v>10</v>
      </c>
      <c r="AD18" s="73">
        <f t="shared" si="8"/>
        <v>1.29071</v>
      </c>
      <c r="AE18" t="s">
        <v>65</v>
      </c>
      <c r="AH18" s="34" t="s">
        <v>14</v>
      </c>
      <c r="AI18" s="35" t="s">
        <v>0</v>
      </c>
      <c r="AJ18" s="36" t="s">
        <v>1</v>
      </c>
      <c r="AK18" s="43" t="s">
        <v>44</v>
      </c>
      <c r="AL18" s="67"/>
      <c r="AM18" s="67"/>
    </row>
    <row r="19" spans="14:41" x14ac:dyDescent="0.25">
      <c r="N19" s="127" t="str">
        <f t="shared" si="3"/>
        <v xml:space="preserve">SOFR Swap </v>
      </c>
      <c r="O19" s="128">
        <f t="shared" si="5"/>
        <v>40</v>
      </c>
      <c r="P19" s="129">
        <f t="shared" si="7"/>
        <v>1.4806300000000001</v>
      </c>
      <c r="Q19" s="122" t="s">
        <v>121</v>
      </c>
      <c r="R19" s="123">
        <v>0.8</v>
      </c>
      <c r="S19" s="122"/>
      <c r="T19" s="80">
        <f t="shared" si="1"/>
        <v>8.6917808219178092E-2</v>
      </c>
      <c r="U19" s="80"/>
      <c r="V19" s="81">
        <f t="shared" si="2"/>
        <v>2.2126600000000001</v>
      </c>
      <c r="W19" s="65"/>
      <c r="X19" s="65"/>
      <c r="Y19" s="117"/>
      <c r="AB19" t="str">
        <f t="shared" si="4"/>
        <v>SOFR-OIS Basis Swap</v>
      </c>
      <c r="AC19" s="1">
        <v>15</v>
      </c>
      <c r="AD19" s="73">
        <f t="shared" si="8"/>
        <v>1.36849</v>
      </c>
      <c r="AE19" t="s">
        <v>65</v>
      </c>
      <c r="AH19" s="5" t="s">
        <v>52</v>
      </c>
      <c r="AI19" s="66" t="s">
        <v>117</v>
      </c>
      <c r="AJ19" s="75">
        <v>1.22559</v>
      </c>
      <c r="AK19" s="69" t="s">
        <v>40</v>
      </c>
      <c r="AL19" s="67"/>
      <c r="AM19" s="67"/>
    </row>
    <row r="20" spans="14:41" x14ac:dyDescent="0.25">
      <c r="N20" s="127" t="str">
        <f t="shared" si="3"/>
        <v xml:space="preserve">SOFR Swap </v>
      </c>
      <c r="O20" s="128">
        <f t="shared" si="5"/>
        <v>50</v>
      </c>
      <c r="P20" s="129">
        <f t="shared" si="7"/>
        <v>1.4665600000000001</v>
      </c>
      <c r="Q20" s="122" t="s">
        <v>121</v>
      </c>
      <c r="R20" s="123">
        <v>1</v>
      </c>
      <c r="S20" s="122"/>
      <c r="T20" s="80">
        <f t="shared" si="1"/>
        <v>9.1917808219178096E-2</v>
      </c>
      <c r="U20" s="80"/>
      <c r="V20" s="81">
        <f t="shared" si="2"/>
        <v>2.2126600000000001</v>
      </c>
      <c r="W20" s="65"/>
      <c r="X20" s="65"/>
      <c r="Y20" s="117"/>
      <c r="AB20" t="str">
        <f t="shared" si="4"/>
        <v>SOFR-OIS Basis Swap</v>
      </c>
      <c r="AC20" s="1">
        <v>20</v>
      </c>
      <c r="AD20" s="73">
        <f t="shared" si="8"/>
        <v>1.4110199999999999</v>
      </c>
      <c r="AE20" t="s">
        <v>65</v>
      </c>
      <c r="AH20" s="5" t="s">
        <v>52</v>
      </c>
      <c r="AI20" s="66" t="s">
        <v>4</v>
      </c>
      <c r="AJ20" s="75">
        <v>1.20502</v>
      </c>
      <c r="AK20" s="71" t="s">
        <v>40</v>
      </c>
      <c r="AL20" s="67"/>
      <c r="AM20" s="67"/>
    </row>
    <row r="21" spans="14:41" x14ac:dyDescent="0.25">
      <c r="N21" s="122" t="s">
        <v>122</v>
      </c>
      <c r="Q21" s="122"/>
      <c r="S21" s="122"/>
      <c r="T21" s="80">
        <f t="shared" si="1"/>
        <v>9.69178082191781E-2</v>
      </c>
      <c r="U21" s="80"/>
      <c r="V21" s="81">
        <f t="shared" si="2"/>
        <v>2.2126600000000001</v>
      </c>
      <c r="W21" s="65"/>
      <c r="X21" s="65"/>
      <c r="Y21" s="117"/>
      <c r="AB21" t="str">
        <f t="shared" si="4"/>
        <v>SOFR-LIBOR Basis Swap</v>
      </c>
      <c r="AC21" s="1">
        <v>30</v>
      </c>
      <c r="AD21" s="73">
        <f t="shared" si="8"/>
        <v>1.4213499999999999</v>
      </c>
      <c r="AE21" t="s">
        <v>65</v>
      </c>
      <c r="AH21" s="5" t="s">
        <v>52</v>
      </c>
      <c r="AI21" s="66" t="s">
        <v>28</v>
      </c>
      <c r="AJ21" s="75">
        <v>1.23028</v>
      </c>
      <c r="AK21" s="71" t="s">
        <v>40</v>
      </c>
      <c r="AL21" s="67"/>
      <c r="AN21" s="1" t="s">
        <v>0</v>
      </c>
      <c r="AO21" s="66" t="s">
        <v>45</v>
      </c>
    </row>
    <row r="22" spans="14:41" x14ac:dyDescent="0.25">
      <c r="N22" s="122" t="s">
        <v>123</v>
      </c>
      <c r="O22" s="119"/>
      <c r="P22" s="119"/>
      <c r="T22" s="80">
        <f t="shared" si="1"/>
        <v>0.1019178082191781</v>
      </c>
      <c r="U22" s="80"/>
      <c r="V22" s="81">
        <f t="shared" si="2"/>
        <v>2.2126600000000001</v>
      </c>
      <c r="W22" s="65"/>
      <c r="X22" s="65"/>
      <c r="Y22" s="117"/>
      <c r="AB22" t="str">
        <f t="shared" si="4"/>
        <v>SOFR-LIBOR Basis Swap</v>
      </c>
      <c r="AC22" s="1">
        <v>40</v>
      </c>
      <c r="AD22" s="73">
        <f t="shared" si="8"/>
        <v>1.40063</v>
      </c>
      <c r="AE22" t="s">
        <v>65</v>
      </c>
      <c r="AH22" s="5" t="s">
        <v>53</v>
      </c>
      <c r="AI22" s="66" t="s">
        <v>5</v>
      </c>
      <c r="AJ22" s="75">
        <v>1.2715399999999999</v>
      </c>
      <c r="AK22" s="69" t="s">
        <v>41</v>
      </c>
      <c r="AL22" s="67"/>
      <c r="AN22" s="66" t="s">
        <v>5</v>
      </c>
      <c r="AO22" s="66">
        <v>1.29071</v>
      </c>
    </row>
    <row r="23" spans="14:41" x14ac:dyDescent="0.25">
      <c r="O23" s="119"/>
      <c r="P23" s="119"/>
      <c r="T23" s="80">
        <f t="shared" si="1"/>
        <v>0.10691780821917811</v>
      </c>
      <c r="U23" s="80"/>
      <c r="V23" s="81">
        <f t="shared" si="2"/>
        <v>2.2126600000000001</v>
      </c>
      <c r="W23" s="65"/>
      <c r="X23" s="65"/>
      <c r="Y23" s="117"/>
      <c r="AB23" t="str">
        <f t="shared" si="4"/>
        <v>SOFR-LIBOR Basis Swap</v>
      </c>
      <c r="AC23" s="1">
        <v>50</v>
      </c>
      <c r="AD23" s="73">
        <f t="shared" si="8"/>
        <v>1.36656</v>
      </c>
      <c r="AE23" t="s">
        <v>65</v>
      </c>
      <c r="AH23" s="5" t="s">
        <v>53</v>
      </c>
      <c r="AI23" s="66" t="s">
        <v>7</v>
      </c>
      <c r="AJ23" s="75">
        <v>1.3646799999999999</v>
      </c>
      <c r="AK23" s="71" t="s">
        <v>41</v>
      </c>
      <c r="AL23" s="67"/>
      <c r="AN23" s="66" t="s">
        <v>7</v>
      </c>
      <c r="AO23" s="66">
        <v>1.36849</v>
      </c>
    </row>
    <row r="24" spans="14:41" x14ac:dyDescent="0.25">
      <c r="T24" s="80">
        <f t="shared" si="1"/>
        <v>0.11191780821917811</v>
      </c>
      <c r="U24" s="80"/>
      <c r="V24" s="81">
        <f t="shared" si="2"/>
        <v>2.2126600000000001</v>
      </c>
      <c r="W24" s="65"/>
      <c r="X24" s="65"/>
      <c r="Y24" s="117"/>
      <c r="AC24" s="1"/>
      <c r="AD24" s="1"/>
      <c r="AH24" s="5" t="s">
        <v>53</v>
      </c>
      <c r="AI24" s="66" t="s">
        <v>8</v>
      </c>
      <c r="AJ24" s="75">
        <v>1.4194500000000001</v>
      </c>
      <c r="AK24" s="71" t="s">
        <v>41</v>
      </c>
      <c r="AL24" s="67"/>
      <c r="AN24" s="66" t="s">
        <v>8</v>
      </c>
      <c r="AO24" s="66">
        <v>1.4110199999999999</v>
      </c>
    </row>
    <row r="25" spans="14:41" x14ac:dyDescent="0.25">
      <c r="T25" s="80">
        <f t="shared" si="1"/>
        <v>0.11691780821917812</v>
      </c>
      <c r="U25" s="80"/>
      <c r="V25" s="81">
        <f t="shared" si="2"/>
        <v>2.2126600000000001</v>
      </c>
      <c r="W25" s="65"/>
      <c r="X25" s="65"/>
      <c r="Y25" s="117"/>
      <c r="AH25" s="5" t="s">
        <v>54</v>
      </c>
      <c r="AI25" s="66" t="s">
        <v>5</v>
      </c>
      <c r="AJ25" s="74">
        <f>(AO22-AJ22)*100</f>
        <v>1.9170000000000131</v>
      </c>
      <c r="AK25" s="71" t="s">
        <v>41</v>
      </c>
      <c r="AL25" s="67"/>
      <c r="AN25" s="1"/>
      <c r="AO25" s="66"/>
    </row>
    <row r="26" spans="14:41" x14ac:dyDescent="0.25">
      <c r="T26" s="80">
        <f t="shared" si="1"/>
        <v>0.12191780821917812</v>
      </c>
      <c r="U26" s="80"/>
      <c r="V26" s="81">
        <f t="shared" si="2"/>
        <v>2.2126600000000001</v>
      </c>
      <c r="W26" s="65"/>
      <c r="X26" s="65"/>
      <c r="Y26" s="117"/>
      <c r="AH26" s="5" t="s">
        <v>54</v>
      </c>
      <c r="AI26" s="66" t="s">
        <v>7</v>
      </c>
      <c r="AJ26" s="74">
        <f>(AO23-AJ23)*100</f>
        <v>0.38100000000000911</v>
      </c>
      <c r="AK26" s="71" t="s">
        <v>41</v>
      </c>
      <c r="AL26" s="67"/>
      <c r="AN26" s="1"/>
      <c r="AO26" s="66"/>
    </row>
    <row r="27" spans="14:41" x14ac:dyDescent="0.25">
      <c r="T27" s="80">
        <f t="shared" si="1"/>
        <v>0.12691780821917811</v>
      </c>
      <c r="U27" s="80"/>
      <c r="V27" s="81">
        <f t="shared" si="2"/>
        <v>2.36266</v>
      </c>
      <c r="W27" s="65"/>
      <c r="X27" s="65"/>
      <c r="Y27" s="117">
        <v>0.15</v>
      </c>
      <c r="AH27" s="5" t="s">
        <v>54</v>
      </c>
      <c r="AI27" s="66" t="s">
        <v>8</v>
      </c>
      <c r="AJ27" s="74">
        <f>(AO24-AJ24)*100</f>
        <v>-0.84300000000001596</v>
      </c>
      <c r="AK27" s="71" t="s">
        <v>41</v>
      </c>
      <c r="AL27" s="67"/>
      <c r="AN27" s="76" t="s">
        <v>0</v>
      </c>
      <c r="AO27" s="66" t="s">
        <v>45</v>
      </c>
    </row>
    <row r="28" spans="14:41" x14ac:dyDescent="0.25">
      <c r="T28" s="80">
        <f t="shared" si="1"/>
        <v>0.13191780821917812</v>
      </c>
      <c r="U28" s="80"/>
      <c r="V28" s="81">
        <f t="shared" si="2"/>
        <v>2.2126600000000001</v>
      </c>
      <c r="W28" s="65"/>
      <c r="X28" s="65"/>
      <c r="Y28" s="117"/>
      <c r="AH28" s="5" t="s">
        <v>55</v>
      </c>
      <c r="AI28" s="66" t="s">
        <v>9</v>
      </c>
      <c r="AJ28" s="75">
        <v>1.7179599999999999</v>
      </c>
      <c r="AK28" s="69" t="s">
        <v>42</v>
      </c>
      <c r="AL28" s="67"/>
      <c r="AN28" s="66" t="s">
        <v>9</v>
      </c>
      <c r="AO28" s="66">
        <v>1.4213499999999999</v>
      </c>
    </row>
    <row r="29" spans="14:41" x14ac:dyDescent="0.25">
      <c r="T29" s="78">
        <f>AC8</f>
        <v>0.13698630136986301</v>
      </c>
      <c r="U29" s="78"/>
      <c r="V29" s="79">
        <f>AD8</f>
        <v>1.8598699999999999</v>
      </c>
      <c r="W29" s="65"/>
      <c r="X29" s="65"/>
      <c r="Y29" s="116"/>
      <c r="AB29" s="13" t="s">
        <v>111</v>
      </c>
      <c r="AH29" s="5" t="s">
        <v>55</v>
      </c>
      <c r="AI29" s="66" t="s">
        <v>38</v>
      </c>
      <c r="AJ29" s="75">
        <v>1.6973100000000001</v>
      </c>
      <c r="AK29" s="71" t="s">
        <v>42</v>
      </c>
      <c r="AL29" s="67"/>
      <c r="AN29" s="66" t="s">
        <v>38</v>
      </c>
      <c r="AO29" s="66">
        <v>1.40063</v>
      </c>
    </row>
    <row r="30" spans="14:41" x14ac:dyDescent="0.25">
      <c r="T30" s="80">
        <f t="shared" ref="T30:T49" si="9">T29+0.005</f>
        <v>0.14198630136986301</v>
      </c>
      <c r="U30" s="80"/>
      <c r="V30" s="81">
        <f t="shared" ref="V30:V49" si="10">$V$29+Y30</f>
        <v>2.0598700000000001</v>
      </c>
      <c r="W30" s="65"/>
      <c r="X30" s="65"/>
      <c r="Y30" s="117">
        <v>0.2</v>
      </c>
      <c r="AH30" s="5" t="s">
        <v>55</v>
      </c>
      <c r="AI30" s="66" t="s">
        <v>39</v>
      </c>
      <c r="AJ30" s="75">
        <v>1.6608000000000001</v>
      </c>
      <c r="AK30" s="71" t="s">
        <v>42</v>
      </c>
      <c r="AL30" s="67"/>
      <c r="AN30" s="66" t="s">
        <v>39</v>
      </c>
      <c r="AO30" s="66">
        <v>1.36656</v>
      </c>
    </row>
    <row r="31" spans="14:41" x14ac:dyDescent="0.25">
      <c r="T31" s="80">
        <f t="shared" si="9"/>
        <v>0.14698630136986301</v>
      </c>
      <c r="U31" s="80"/>
      <c r="V31" s="81">
        <f t="shared" si="10"/>
        <v>1.8598699999999999</v>
      </c>
      <c r="W31" s="65"/>
      <c r="X31" s="65"/>
      <c r="Y31" s="117"/>
      <c r="AB31" t="s">
        <v>14</v>
      </c>
      <c r="AC31" s="1" t="s">
        <v>0</v>
      </c>
      <c r="AD31" s="1" t="s">
        <v>1</v>
      </c>
      <c r="AH31" s="5" t="s">
        <v>56</v>
      </c>
      <c r="AI31" s="66" t="s">
        <v>9</v>
      </c>
      <c r="AJ31" s="74">
        <f>(AO28-AJ28)*100</f>
        <v>-29.661000000000005</v>
      </c>
      <c r="AK31" s="71" t="s">
        <v>42</v>
      </c>
      <c r="AL31" s="67"/>
      <c r="AM31" s="67"/>
    </row>
    <row r="32" spans="14:41" x14ac:dyDescent="0.25">
      <c r="T32" s="80">
        <f t="shared" si="9"/>
        <v>0.15198630136986302</v>
      </c>
      <c r="U32" s="80"/>
      <c r="V32" s="81">
        <f t="shared" si="10"/>
        <v>1.8598699999999999</v>
      </c>
      <c r="W32" s="65"/>
      <c r="X32" s="65"/>
      <c r="Y32" s="117"/>
      <c r="AB32" t="s">
        <v>114</v>
      </c>
      <c r="AC32" s="1" t="str">
        <f t="shared" ref="AC32:AD36" si="11">AI4</f>
        <v>1D</v>
      </c>
      <c r="AD32" s="73">
        <f t="shared" si="11"/>
        <v>2.12</v>
      </c>
      <c r="AH32" s="5" t="s">
        <v>56</v>
      </c>
      <c r="AI32" s="66" t="s">
        <v>38</v>
      </c>
      <c r="AJ32" s="74">
        <f>(AO29-AJ29)*100</f>
        <v>-29.668000000000006</v>
      </c>
      <c r="AK32" s="71" t="s">
        <v>42</v>
      </c>
      <c r="AL32" s="67"/>
      <c r="AM32" s="67"/>
    </row>
    <row r="33" spans="20:39" x14ac:dyDescent="0.25">
      <c r="T33" s="80">
        <f t="shared" si="9"/>
        <v>0.15698630136986302</v>
      </c>
      <c r="U33" s="80"/>
      <c r="V33" s="81">
        <f t="shared" si="10"/>
        <v>1.8598699999999999</v>
      </c>
      <c r="W33" s="65"/>
      <c r="X33" s="65"/>
      <c r="Y33" s="117"/>
      <c r="AB33" t="s">
        <v>48</v>
      </c>
      <c r="AC33" s="1" t="str">
        <f t="shared" si="11"/>
        <v>MPC1</v>
      </c>
      <c r="AD33" s="73">
        <f t="shared" si="11"/>
        <v>2.2126600000000001</v>
      </c>
      <c r="AH33" s="5" t="s">
        <v>56</v>
      </c>
      <c r="AI33" s="66" t="s">
        <v>39</v>
      </c>
      <c r="AJ33" s="74">
        <f>(AO30-AJ30)*100</f>
        <v>-29.424000000000007</v>
      </c>
      <c r="AK33" s="71" t="s">
        <v>42</v>
      </c>
      <c r="AL33" s="67"/>
      <c r="AM33" s="67"/>
    </row>
    <row r="34" spans="20:39" x14ac:dyDescent="0.25">
      <c r="T34" s="80">
        <f t="shared" si="9"/>
        <v>0.16198630136986303</v>
      </c>
      <c r="U34" s="80"/>
      <c r="V34" s="81">
        <f t="shared" si="10"/>
        <v>1.8598699999999999</v>
      </c>
      <c r="W34" s="65"/>
      <c r="X34" s="65"/>
      <c r="Y34" s="117"/>
      <c r="AB34" t="s">
        <v>48</v>
      </c>
      <c r="AC34" s="1" t="str">
        <f t="shared" si="11"/>
        <v>MPC2</v>
      </c>
      <c r="AD34" s="73">
        <f t="shared" si="11"/>
        <v>1.8598699999999999</v>
      </c>
    </row>
    <row r="35" spans="20:39" x14ac:dyDescent="0.25">
      <c r="T35" s="80">
        <f t="shared" si="9"/>
        <v>0.16698630136986303</v>
      </c>
      <c r="U35" s="80"/>
      <c r="V35" s="81">
        <f t="shared" si="10"/>
        <v>1.8598699999999999</v>
      </c>
      <c r="W35" s="65"/>
      <c r="X35" s="65"/>
      <c r="Y35" s="117"/>
      <c r="AB35" t="s">
        <v>48</v>
      </c>
      <c r="AC35" s="1" t="str">
        <f t="shared" si="11"/>
        <v>MPC3</v>
      </c>
      <c r="AD35" s="73">
        <f t="shared" si="11"/>
        <v>1.5793900000000001</v>
      </c>
    </row>
    <row r="36" spans="20:39" x14ac:dyDescent="0.25">
      <c r="T36" s="80">
        <f t="shared" si="9"/>
        <v>0.17198630136986304</v>
      </c>
      <c r="U36" s="80"/>
      <c r="V36" s="81">
        <f t="shared" si="10"/>
        <v>1.8598699999999999</v>
      </c>
      <c r="W36" s="65"/>
      <c r="X36" s="65"/>
      <c r="Y36" s="117"/>
      <c r="AB36" t="s">
        <v>48</v>
      </c>
      <c r="AC36" s="1" t="str">
        <f t="shared" si="11"/>
        <v>MPC4</v>
      </c>
      <c r="AD36" s="73">
        <f t="shared" si="11"/>
        <v>1.3886000000000001</v>
      </c>
    </row>
    <row r="37" spans="20:39" x14ac:dyDescent="0.25">
      <c r="T37" s="80">
        <f t="shared" si="9"/>
        <v>0.17698630136986304</v>
      </c>
      <c r="U37" s="80"/>
      <c r="V37" s="81">
        <f t="shared" si="10"/>
        <v>1.8598699999999999</v>
      </c>
      <c r="W37" s="65"/>
      <c r="X37" s="65"/>
      <c r="Y37" s="117"/>
      <c r="AB37" t="str">
        <f t="shared" ref="AB37:AC40" si="12">AH12</f>
        <v>Future 5</v>
      </c>
      <c r="AC37" s="1" t="str">
        <f t="shared" si="12"/>
        <v>M0</v>
      </c>
      <c r="AD37" s="73">
        <f>AO12</f>
        <v>1.3025199999999999</v>
      </c>
    </row>
    <row r="38" spans="20:39" x14ac:dyDescent="0.25">
      <c r="T38" s="80">
        <f t="shared" si="9"/>
        <v>0.18198630136986305</v>
      </c>
      <c r="U38" s="80"/>
      <c r="V38" s="81">
        <f t="shared" si="10"/>
        <v>1.8598699999999999</v>
      </c>
      <c r="W38" s="65"/>
      <c r="X38" s="65"/>
      <c r="Y38" s="117"/>
      <c r="AB38" t="str">
        <f t="shared" si="12"/>
        <v>Future 6</v>
      </c>
      <c r="AC38" s="1" t="str">
        <f t="shared" si="12"/>
        <v>U0</v>
      </c>
      <c r="AD38" s="73">
        <f>AO13</f>
        <v>1.2061500000000001</v>
      </c>
    </row>
    <row r="39" spans="20:39" x14ac:dyDescent="0.25">
      <c r="T39" s="80">
        <f t="shared" si="9"/>
        <v>0.18698630136986305</v>
      </c>
      <c r="U39" s="80"/>
      <c r="V39" s="81">
        <f t="shared" si="10"/>
        <v>1.8598699999999999</v>
      </c>
      <c r="W39" s="65"/>
      <c r="X39" s="65"/>
      <c r="Y39" s="117"/>
      <c r="AB39" t="str">
        <f t="shared" si="12"/>
        <v>Future 7</v>
      </c>
      <c r="AC39" s="1" t="str">
        <f t="shared" si="12"/>
        <v>Z0</v>
      </c>
      <c r="AD39" s="73">
        <f>AO14</f>
        <v>1.1595</v>
      </c>
    </row>
    <row r="40" spans="20:39" x14ac:dyDescent="0.25">
      <c r="T40" s="80">
        <f t="shared" si="9"/>
        <v>0.19198630136986305</v>
      </c>
      <c r="U40" s="80"/>
      <c r="V40" s="81">
        <f t="shared" si="10"/>
        <v>2.1098699999999999</v>
      </c>
      <c r="W40" s="65"/>
      <c r="X40" s="65"/>
      <c r="Y40" s="117">
        <v>0.25</v>
      </c>
      <c r="AB40" t="str">
        <f t="shared" si="12"/>
        <v>Future 8</v>
      </c>
      <c r="AC40" s="1" t="str">
        <f t="shared" si="12"/>
        <v>H1</v>
      </c>
      <c r="AD40" s="73">
        <f>AO15</f>
        <v>1.1832299999999978</v>
      </c>
    </row>
    <row r="41" spans="20:39" x14ac:dyDescent="0.25">
      <c r="T41" s="80">
        <f t="shared" si="9"/>
        <v>0.19698630136986306</v>
      </c>
      <c r="U41" s="80"/>
      <c r="V41" s="81">
        <f t="shared" si="10"/>
        <v>1.8598699999999999</v>
      </c>
      <c r="W41" s="65"/>
      <c r="X41" s="65"/>
      <c r="Y41" s="117"/>
      <c r="AB41" t="str">
        <f t="shared" ref="AB41:AD43" si="13">AH19</f>
        <v xml:space="preserve">SOFR Swap </v>
      </c>
      <c r="AC41" s="1" t="str">
        <f t="shared" si="13"/>
        <v>3Y</v>
      </c>
      <c r="AD41" s="73">
        <f t="shared" si="13"/>
        <v>1.22559</v>
      </c>
    </row>
    <row r="42" spans="20:39" x14ac:dyDescent="0.25">
      <c r="T42" s="80">
        <f t="shared" si="9"/>
        <v>0.20198630136986306</v>
      </c>
      <c r="U42" s="80"/>
      <c r="V42" s="81">
        <f t="shared" si="10"/>
        <v>1.8598699999999999</v>
      </c>
      <c r="W42" s="65"/>
      <c r="X42" s="65"/>
      <c r="Y42" s="117"/>
      <c r="AB42" t="str">
        <f t="shared" si="13"/>
        <v xml:space="preserve">SOFR Swap </v>
      </c>
      <c r="AC42" s="1" t="str">
        <f t="shared" si="13"/>
        <v>5Y</v>
      </c>
      <c r="AD42" s="73">
        <f t="shared" si="13"/>
        <v>1.20502</v>
      </c>
    </row>
    <row r="43" spans="20:39" x14ac:dyDescent="0.25">
      <c r="T43" s="80">
        <f t="shared" si="9"/>
        <v>0.20698630136986307</v>
      </c>
      <c r="U43" s="80"/>
      <c r="V43" s="81">
        <f t="shared" si="10"/>
        <v>1.8598699999999999</v>
      </c>
      <c r="W43" s="65"/>
      <c r="X43" s="65"/>
      <c r="Y43" s="117"/>
      <c r="AB43" t="str">
        <f t="shared" si="13"/>
        <v xml:space="preserve">SOFR Swap </v>
      </c>
      <c r="AC43" s="1" t="str">
        <f t="shared" si="13"/>
        <v>7Y</v>
      </c>
      <c r="AD43" s="73">
        <f t="shared" si="13"/>
        <v>1.23028</v>
      </c>
    </row>
    <row r="44" spans="20:39" x14ac:dyDescent="0.25">
      <c r="T44" s="80">
        <f t="shared" si="9"/>
        <v>0.21198630136986307</v>
      </c>
      <c r="U44" s="80"/>
      <c r="V44" s="81">
        <f t="shared" si="10"/>
        <v>1.8598699999999999</v>
      </c>
      <c r="W44" s="65"/>
      <c r="X44" s="65"/>
      <c r="Y44" s="117"/>
      <c r="AB44" t="str">
        <f>AH25</f>
        <v>SOFR-OIS Basis Swap</v>
      </c>
      <c r="AC44" s="1" t="str">
        <f>AI22</f>
        <v>10Y</v>
      </c>
      <c r="AD44" s="73">
        <f>AJ22+AJ25/100</f>
        <v>1.29071</v>
      </c>
    </row>
    <row r="45" spans="20:39" x14ac:dyDescent="0.25">
      <c r="T45" s="80">
        <f t="shared" si="9"/>
        <v>0.21698630136986308</v>
      </c>
      <c r="U45" s="80"/>
      <c r="V45" s="81">
        <f t="shared" si="10"/>
        <v>1.8598699999999999</v>
      </c>
      <c r="W45" s="65"/>
      <c r="X45" s="65"/>
      <c r="Y45" s="117"/>
      <c r="AB45" t="str">
        <f>AH26</f>
        <v>SOFR-OIS Basis Swap</v>
      </c>
      <c r="AC45" s="1" t="str">
        <f>AI23</f>
        <v>15Y</v>
      </c>
      <c r="AD45" s="73">
        <f>AJ23+AJ26/100</f>
        <v>1.36849</v>
      </c>
    </row>
    <row r="46" spans="20:39" x14ac:dyDescent="0.25">
      <c r="T46" s="80">
        <f t="shared" si="9"/>
        <v>0.22198630136986308</v>
      </c>
      <c r="U46" s="80"/>
      <c r="V46" s="81">
        <f t="shared" si="10"/>
        <v>1.8598699999999999</v>
      </c>
      <c r="W46" s="65"/>
      <c r="X46" s="65"/>
      <c r="Y46" s="117"/>
      <c r="AB46" t="str">
        <f>AH27</f>
        <v>SOFR-OIS Basis Swap</v>
      </c>
      <c r="AC46" s="1" t="str">
        <f>AI24</f>
        <v>20Y</v>
      </c>
      <c r="AD46" s="73">
        <f>AJ24+AJ27/100</f>
        <v>1.4110199999999999</v>
      </c>
    </row>
    <row r="47" spans="20:39" x14ac:dyDescent="0.25">
      <c r="T47" s="80">
        <f t="shared" si="9"/>
        <v>0.22698630136986309</v>
      </c>
      <c r="U47" s="80"/>
      <c r="V47" s="81">
        <f t="shared" si="10"/>
        <v>1.8598699999999999</v>
      </c>
      <c r="W47" s="65"/>
      <c r="X47" s="65"/>
      <c r="Y47" s="117"/>
      <c r="AB47" t="str">
        <f>AH31</f>
        <v>SOFR-LIBOR Basis Swap</v>
      </c>
      <c r="AC47" s="1" t="str">
        <f>AI28</f>
        <v>30Y</v>
      </c>
      <c r="AD47" s="73">
        <f>AJ28+AJ31/100</f>
        <v>1.4213499999999999</v>
      </c>
    </row>
    <row r="48" spans="20:39" x14ac:dyDescent="0.25">
      <c r="T48" s="80">
        <f t="shared" si="9"/>
        <v>0.23198630136986309</v>
      </c>
      <c r="U48" s="80"/>
      <c r="V48" s="81">
        <f t="shared" si="10"/>
        <v>1.95987</v>
      </c>
      <c r="W48" s="65"/>
      <c r="X48" s="65"/>
      <c r="Y48" s="117">
        <v>0.1</v>
      </c>
      <c r="AB48" t="str">
        <f>AH32</f>
        <v>SOFR-LIBOR Basis Swap</v>
      </c>
      <c r="AC48" s="1" t="str">
        <f>AI29</f>
        <v>40Y</v>
      </c>
      <c r="AD48" s="73">
        <f>AJ29+AJ32/100</f>
        <v>1.40063</v>
      </c>
    </row>
    <row r="49" spans="20:30" x14ac:dyDescent="0.25">
      <c r="T49" s="80">
        <f t="shared" si="9"/>
        <v>0.23698630136986309</v>
      </c>
      <c r="U49" s="80"/>
      <c r="V49" s="81">
        <f t="shared" si="10"/>
        <v>1.8598699999999999</v>
      </c>
      <c r="W49" s="65"/>
      <c r="X49" s="65"/>
      <c r="Y49" s="117"/>
      <c r="AB49" t="str">
        <f>AH33</f>
        <v>SOFR-LIBOR Basis Swap</v>
      </c>
      <c r="AC49" s="1" t="str">
        <f>AI30</f>
        <v>50Y</v>
      </c>
      <c r="AD49" s="73">
        <f>AJ30+AJ33/100</f>
        <v>1.36656</v>
      </c>
    </row>
    <row r="50" spans="20:30" x14ac:dyDescent="0.25">
      <c r="T50" s="78">
        <f>AC9</f>
        <v>0.25205479452054796</v>
      </c>
      <c r="U50" s="78"/>
      <c r="V50" s="79">
        <f>AD9</f>
        <v>1.5793900000000001</v>
      </c>
      <c r="W50" s="65"/>
      <c r="X50" s="65"/>
      <c r="Y50" s="116"/>
    </row>
    <row r="51" spans="20:30" x14ac:dyDescent="0.25">
      <c r="T51" s="80">
        <f t="shared" ref="T51:T76" si="14">T50+0.005</f>
        <v>0.25705479452054797</v>
      </c>
      <c r="U51" s="80"/>
      <c r="V51" s="81">
        <f t="shared" ref="V51:V76" si="15">$V$50+Y51</f>
        <v>1.77939</v>
      </c>
      <c r="W51" s="65"/>
      <c r="X51" s="65"/>
      <c r="Y51" s="117">
        <v>0.2</v>
      </c>
    </row>
    <row r="52" spans="20:30" x14ac:dyDescent="0.25">
      <c r="T52" s="80">
        <f t="shared" si="14"/>
        <v>0.26205479452054797</v>
      </c>
      <c r="U52" s="80"/>
      <c r="V52" s="81">
        <f t="shared" si="15"/>
        <v>1.5793900000000001</v>
      </c>
      <c r="W52" s="65"/>
      <c r="X52" s="65"/>
      <c r="Y52" s="117"/>
    </row>
    <row r="53" spans="20:30" x14ac:dyDescent="0.25">
      <c r="T53" s="80">
        <f t="shared" si="14"/>
        <v>0.26705479452054798</v>
      </c>
      <c r="U53" s="80"/>
      <c r="V53" s="81">
        <f t="shared" si="15"/>
        <v>1.5793900000000001</v>
      </c>
      <c r="W53" s="65"/>
      <c r="X53" s="65"/>
      <c r="Y53" s="117"/>
    </row>
    <row r="54" spans="20:30" x14ac:dyDescent="0.25">
      <c r="T54" s="80">
        <f t="shared" si="14"/>
        <v>0.27205479452054798</v>
      </c>
      <c r="U54" s="80"/>
      <c r="V54" s="81">
        <f t="shared" si="15"/>
        <v>1.5793900000000001</v>
      </c>
      <c r="W54" s="65"/>
      <c r="X54" s="65"/>
      <c r="Y54" s="117"/>
    </row>
    <row r="55" spans="20:30" x14ac:dyDescent="0.25">
      <c r="T55" s="80">
        <f t="shared" si="14"/>
        <v>0.27705479452054799</v>
      </c>
      <c r="U55" s="80"/>
      <c r="V55" s="81">
        <f t="shared" si="15"/>
        <v>1.5793900000000001</v>
      </c>
      <c r="W55" s="65"/>
      <c r="X55" s="65"/>
      <c r="Y55" s="117"/>
    </row>
    <row r="56" spans="20:30" x14ac:dyDescent="0.25">
      <c r="T56" s="80">
        <f t="shared" si="14"/>
        <v>0.28205479452054799</v>
      </c>
      <c r="U56" s="80"/>
      <c r="V56" s="81">
        <f t="shared" si="15"/>
        <v>1.5793900000000001</v>
      </c>
      <c r="W56" s="65"/>
      <c r="X56" s="65"/>
      <c r="Y56" s="117"/>
    </row>
    <row r="57" spans="20:30" x14ac:dyDescent="0.25">
      <c r="T57" s="80">
        <f t="shared" si="14"/>
        <v>0.287054794520548</v>
      </c>
      <c r="U57" s="80"/>
      <c r="V57" s="81">
        <f t="shared" si="15"/>
        <v>1.5793900000000001</v>
      </c>
      <c r="W57" s="65"/>
      <c r="X57" s="65"/>
      <c r="Y57" s="117"/>
    </row>
    <row r="58" spans="20:30" x14ac:dyDescent="0.25">
      <c r="T58" s="80">
        <f t="shared" si="14"/>
        <v>0.292054794520548</v>
      </c>
      <c r="U58" s="80"/>
      <c r="V58" s="81">
        <f t="shared" si="15"/>
        <v>1.5793900000000001</v>
      </c>
      <c r="W58" s="65"/>
      <c r="X58" s="65"/>
      <c r="Y58" s="117"/>
    </row>
    <row r="59" spans="20:30" x14ac:dyDescent="0.25">
      <c r="T59" s="80">
        <f t="shared" si="14"/>
        <v>0.297054794520548</v>
      </c>
      <c r="U59" s="80"/>
      <c r="V59" s="81">
        <f t="shared" si="15"/>
        <v>1.5793900000000001</v>
      </c>
      <c r="W59" s="65"/>
      <c r="X59" s="65"/>
      <c r="Y59" s="117"/>
    </row>
    <row r="60" spans="20:30" x14ac:dyDescent="0.25">
      <c r="T60" s="80">
        <f t="shared" si="14"/>
        <v>0.30205479452054801</v>
      </c>
      <c r="U60" s="80"/>
      <c r="V60" s="81">
        <f t="shared" si="15"/>
        <v>1.5793900000000001</v>
      </c>
      <c r="W60" s="65"/>
      <c r="X60" s="65"/>
      <c r="Y60" s="117"/>
    </row>
    <row r="61" spans="20:30" x14ac:dyDescent="0.25">
      <c r="T61" s="80">
        <f t="shared" si="14"/>
        <v>0.30705479452054801</v>
      </c>
      <c r="U61" s="80"/>
      <c r="V61" s="81">
        <f t="shared" si="15"/>
        <v>1.5793900000000001</v>
      </c>
      <c r="W61" s="65"/>
      <c r="X61" s="65"/>
      <c r="Y61" s="117"/>
    </row>
    <row r="62" spans="20:30" x14ac:dyDescent="0.25">
      <c r="T62" s="80">
        <f t="shared" si="14"/>
        <v>0.31205479452054802</v>
      </c>
      <c r="U62" s="80"/>
      <c r="V62" s="81">
        <f t="shared" si="15"/>
        <v>1.6793900000000002</v>
      </c>
      <c r="W62" s="65"/>
      <c r="X62" s="65"/>
      <c r="Y62" s="117">
        <v>0.1</v>
      </c>
    </row>
    <row r="63" spans="20:30" x14ac:dyDescent="0.25">
      <c r="T63" s="80">
        <f t="shared" si="14"/>
        <v>0.31705479452054802</v>
      </c>
      <c r="U63" s="80"/>
      <c r="V63" s="81">
        <f t="shared" si="15"/>
        <v>1.5793900000000001</v>
      </c>
      <c r="W63" s="65"/>
      <c r="X63" s="65"/>
      <c r="Y63" s="117"/>
    </row>
    <row r="64" spans="20:30" x14ac:dyDescent="0.25">
      <c r="T64" s="80">
        <f t="shared" si="14"/>
        <v>0.32205479452054803</v>
      </c>
      <c r="U64" s="80"/>
      <c r="V64" s="81">
        <f t="shared" si="15"/>
        <v>1.5793900000000001</v>
      </c>
      <c r="W64" s="65"/>
      <c r="X64" s="65"/>
      <c r="Y64" s="117"/>
    </row>
    <row r="65" spans="20:25" x14ac:dyDescent="0.25">
      <c r="T65" s="80">
        <f t="shared" si="14"/>
        <v>0.32705479452054803</v>
      </c>
      <c r="U65" s="80"/>
      <c r="V65" s="81">
        <f t="shared" si="15"/>
        <v>1.5793900000000001</v>
      </c>
      <c r="W65" s="65"/>
      <c r="X65" s="65"/>
      <c r="Y65" s="117"/>
    </row>
    <row r="66" spans="20:25" x14ac:dyDescent="0.25">
      <c r="T66" s="80">
        <f t="shared" si="14"/>
        <v>0.33205479452054804</v>
      </c>
      <c r="U66" s="80"/>
      <c r="V66" s="81">
        <f t="shared" si="15"/>
        <v>1.5793900000000001</v>
      </c>
      <c r="W66" s="65"/>
      <c r="X66" s="65"/>
      <c r="Y66" s="117"/>
    </row>
    <row r="67" spans="20:25" x14ac:dyDescent="0.25">
      <c r="T67" s="80">
        <f t="shared" si="14"/>
        <v>0.33705479452054804</v>
      </c>
      <c r="U67" s="80"/>
      <c r="V67" s="81">
        <f t="shared" si="15"/>
        <v>1.5793900000000001</v>
      </c>
      <c r="W67" s="65"/>
      <c r="X67" s="65"/>
      <c r="Y67" s="117"/>
    </row>
    <row r="68" spans="20:25" x14ac:dyDescent="0.25">
      <c r="T68" s="80">
        <f t="shared" si="14"/>
        <v>0.34205479452054804</v>
      </c>
      <c r="U68" s="80"/>
      <c r="V68" s="81">
        <f t="shared" si="15"/>
        <v>1.5793900000000001</v>
      </c>
      <c r="W68" s="65"/>
      <c r="X68" s="65"/>
      <c r="Y68" s="117"/>
    </row>
    <row r="69" spans="20:25" x14ac:dyDescent="0.25">
      <c r="T69" s="80">
        <f t="shared" si="14"/>
        <v>0.34705479452054805</v>
      </c>
      <c r="U69" s="80"/>
      <c r="V69" s="81">
        <f t="shared" si="15"/>
        <v>1.5793900000000001</v>
      </c>
      <c r="W69" s="65"/>
      <c r="X69" s="65"/>
      <c r="Y69" s="117"/>
    </row>
    <row r="70" spans="20:25" x14ac:dyDescent="0.25">
      <c r="T70" s="80">
        <f t="shared" si="14"/>
        <v>0.35205479452054805</v>
      </c>
      <c r="U70" s="80"/>
      <c r="V70" s="81">
        <f t="shared" si="15"/>
        <v>1.5793900000000001</v>
      </c>
      <c r="W70" s="65"/>
      <c r="X70" s="65"/>
      <c r="Y70" s="117"/>
    </row>
    <row r="71" spans="20:25" x14ac:dyDescent="0.25">
      <c r="T71" s="80">
        <f t="shared" si="14"/>
        <v>0.35705479452054806</v>
      </c>
      <c r="U71" s="80"/>
      <c r="V71" s="81">
        <f t="shared" si="15"/>
        <v>1.5793900000000001</v>
      </c>
      <c r="W71" s="65"/>
      <c r="X71" s="65"/>
      <c r="Y71" s="117"/>
    </row>
    <row r="72" spans="20:25" x14ac:dyDescent="0.25">
      <c r="T72" s="80">
        <f t="shared" si="14"/>
        <v>0.36205479452054806</v>
      </c>
      <c r="U72" s="80"/>
      <c r="V72" s="81">
        <f t="shared" si="15"/>
        <v>1.97939</v>
      </c>
      <c r="W72" s="65"/>
      <c r="X72" s="65"/>
      <c r="Y72" s="117">
        <v>0.4</v>
      </c>
    </row>
    <row r="73" spans="20:25" x14ac:dyDescent="0.25">
      <c r="T73" s="80">
        <f t="shared" si="14"/>
        <v>0.36705479452054807</v>
      </c>
      <c r="U73" s="80"/>
      <c r="V73" s="81">
        <f t="shared" si="15"/>
        <v>1.5793900000000001</v>
      </c>
      <c r="W73" s="65"/>
      <c r="X73" s="65"/>
      <c r="Y73" s="117"/>
    </row>
    <row r="74" spans="20:25" x14ac:dyDescent="0.25">
      <c r="T74" s="80">
        <f t="shared" si="14"/>
        <v>0.37205479452054807</v>
      </c>
      <c r="U74" s="80"/>
      <c r="V74" s="81">
        <f t="shared" si="15"/>
        <v>1.5793900000000001</v>
      </c>
      <c r="W74" s="65"/>
      <c r="X74" s="65"/>
      <c r="Y74" s="117"/>
    </row>
    <row r="75" spans="20:25" x14ac:dyDescent="0.25">
      <c r="T75" s="80">
        <f t="shared" si="14"/>
        <v>0.37705479452054808</v>
      </c>
      <c r="U75" s="80"/>
      <c r="V75" s="81">
        <f t="shared" si="15"/>
        <v>1.5793900000000001</v>
      </c>
      <c r="W75" s="65"/>
      <c r="X75" s="65"/>
      <c r="Y75" s="117"/>
    </row>
    <row r="76" spans="20:25" x14ac:dyDescent="0.25">
      <c r="T76" s="80">
        <f t="shared" si="14"/>
        <v>0.38205479452054808</v>
      </c>
      <c r="U76" s="80"/>
      <c r="V76" s="81">
        <f t="shared" si="15"/>
        <v>1.5793900000000001</v>
      </c>
      <c r="W76" s="65"/>
      <c r="X76" s="65"/>
      <c r="Y76" s="117"/>
    </row>
    <row r="77" spans="20:25" x14ac:dyDescent="0.25">
      <c r="T77" s="78">
        <f>AC10</f>
        <v>0.38630136986301372</v>
      </c>
      <c r="U77" s="78"/>
      <c r="V77" s="79">
        <f>AD10</f>
        <v>1.3886000000000001</v>
      </c>
      <c r="W77" s="65"/>
      <c r="X77" s="65"/>
      <c r="Y77" s="116"/>
    </row>
    <row r="78" spans="20:25" x14ac:dyDescent="0.25">
      <c r="T78" s="80">
        <f t="shared" ref="T78:T101" si="16">T77+0.005</f>
        <v>0.39130136986301373</v>
      </c>
      <c r="U78" s="80"/>
      <c r="V78" s="81">
        <f t="shared" ref="V78:V101" si="17">$V$77+Y78</f>
        <v>1.3886000000000001</v>
      </c>
      <c r="W78" s="65"/>
      <c r="X78" s="65"/>
      <c r="Y78" s="117"/>
    </row>
    <row r="79" spans="20:25" x14ac:dyDescent="0.25">
      <c r="T79" s="80">
        <f t="shared" si="16"/>
        <v>0.39630136986301373</v>
      </c>
      <c r="U79" s="80"/>
      <c r="V79" s="81">
        <f t="shared" si="17"/>
        <v>1.5886</v>
      </c>
      <c r="W79" s="65"/>
      <c r="X79" s="65"/>
      <c r="Y79" s="117">
        <v>0.2</v>
      </c>
    </row>
    <row r="80" spans="20:25" x14ac:dyDescent="0.25">
      <c r="T80" s="80">
        <f t="shared" si="16"/>
        <v>0.40130136986301373</v>
      </c>
      <c r="U80" s="80"/>
      <c r="V80" s="81">
        <f t="shared" si="17"/>
        <v>1.3886000000000001</v>
      </c>
      <c r="W80" s="65"/>
      <c r="X80" s="65"/>
      <c r="Y80" s="117"/>
    </row>
    <row r="81" spans="20:27" x14ac:dyDescent="0.25">
      <c r="T81" s="80">
        <f t="shared" si="16"/>
        <v>0.40630136986301374</v>
      </c>
      <c r="U81" s="80"/>
      <c r="V81" s="81">
        <f t="shared" si="17"/>
        <v>1.3886000000000001</v>
      </c>
      <c r="W81" s="65"/>
      <c r="X81" s="65"/>
      <c r="Y81" s="117"/>
    </row>
    <row r="82" spans="20:27" x14ac:dyDescent="0.25">
      <c r="T82" s="80">
        <f t="shared" si="16"/>
        <v>0.41130136986301374</v>
      </c>
      <c r="U82" s="80"/>
      <c r="V82" s="81">
        <f t="shared" si="17"/>
        <v>1.3886000000000001</v>
      </c>
      <c r="W82" s="65"/>
      <c r="X82" s="65"/>
      <c r="Y82" s="117"/>
    </row>
    <row r="83" spans="20:27" x14ac:dyDescent="0.25">
      <c r="T83" s="80">
        <f t="shared" si="16"/>
        <v>0.41630136986301375</v>
      </c>
      <c r="U83" s="80"/>
      <c r="V83" s="81">
        <f t="shared" si="17"/>
        <v>1.3886000000000001</v>
      </c>
      <c r="W83" s="65"/>
      <c r="X83" s="65"/>
      <c r="Y83" s="117"/>
    </row>
    <row r="84" spans="20:27" x14ac:dyDescent="0.25">
      <c r="T84" s="80">
        <f t="shared" si="16"/>
        <v>0.42130136986301375</v>
      </c>
      <c r="U84" s="80"/>
      <c r="V84" s="81">
        <f t="shared" si="17"/>
        <v>1.3886000000000001</v>
      </c>
      <c r="W84" s="65"/>
      <c r="X84" s="65"/>
      <c r="Y84" s="117"/>
    </row>
    <row r="85" spans="20:27" x14ac:dyDescent="0.25">
      <c r="T85" s="80">
        <f t="shared" si="16"/>
        <v>0.42630136986301376</v>
      </c>
      <c r="U85" s="80"/>
      <c r="V85" s="81">
        <f t="shared" si="17"/>
        <v>1.3886000000000001</v>
      </c>
      <c r="W85" s="65"/>
      <c r="X85" s="65"/>
      <c r="Y85" s="117"/>
    </row>
    <row r="86" spans="20:27" x14ac:dyDescent="0.25">
      <c r="T86" s="80">
        <f t="shared" si="16"/>
        <v>0.43130136986301376</v>
      </c>
      <c r="U86" s="80"/>
      <c r="V86" s="81">
        <f t="shared" si="17"/>
        <v>1.3886000000000001</v>
      </c>
      <c r="W86" s="65"/>
      <c r="X86" s="65"/>
      <c r="Y86" s="117"/>
    </row>
    <row r="87" spans="20:27" x14ac:dyDescent="0.25">
      <c r="T87" s="80">
        <f t="shared" si="16"/>
        <v>0.43630136986301377</v>
      </c>
      <c r="U87" s="80"/>
      <c r="V87" s="81">
        <f t="shared" si="17"/>
        <v>1.3886000000000001</v>
      </c>
      <c r="W87" s="65"/>
      <c r="X87" s="65"/>
      <c r="Y87" s="117"/>
    </row>
    <row r="88" spans="20:27" x14ac:dyDescent="0.25">
      <c r="T88" s="80">
        <f t="shared" si="16"/>
        <v>0.44130136986301377</v>
      </c>
      <c r="U88" s="80"/>
      <c r="V88" s="81">
        <f t="shared" si="17"/>
        <v>1.3886000000000001</v>
      </c>
      <c r="W88" s="65"/>
      <c r="X88" s="65"/>
      <c r="Y88" s="117"/>
      <c r="AA88" s="77"/>
    </row>
    <row r="89" spans="20:27" x14ac:dyDescent="0.25">
      <c r="T89" s="80">
        <f t="shared" si="16"/>
        <v>0.44630136986301377</v>
      </c>
      <c r="U89" s="80"/>
      <c r="V89" s="81">
        <f t="shared" si="17"/>
        <v>1.3886000000000001</v>
      </c>
      <c r="W89" s="65"/>
      <c r="X89" s="65"/>
      <c r="Y89" s="117"/>
    </row>
    <row r="90" spans="20:27" x14ac:dyDescent="0.25">
      <c r="T90" s="80">
        <f t="shared" si="16"/>
        <v>0.45130136986301378</v>
      </c>
      <c r="U90" s="80"/>
      <c r="V90" s="81">
        <f t="shared" si="17"/>
        <v>1.3886000000000001</v>
      </c>
      <c r="W90" s="65"/>
      <c r="X90" s="65"/>
      <c r="Y90" s="117"/>
    </row>
    <row r="91" spans="20:27" x14ac:dyDescent="0.25">
      <c r="T91" s="80">
        <f t="shared" si="16"/>
        <v>0.45630136986301378</v>
      </c>
      <c r="U91" s="80"/>
      <c r="V91" s="81">
        <f t="shared" si="17"/>
        <v>1.3886000000000001</v>
      </c>
      <c r="W91" s="65"/>
      <c r="X91" s="65"/>
      <c r="Y91" s="117"/>
    </row>
    <row r="92" spans="20:27" x14ac:dyDescent="0.25">
      <c r="T92" s="80">
        <f t="shared" si="16"/>
        <v>0.46130136986301379</v>
      </c>
      <c r="U92" s="80"/>
      <c r="V92" s="81">
        <f t="shared" si="17"/>
        <v>1.3886000000000001</v>
      </c>
      <c r="W92" s="65"/>
      <c r="X92" s="65"/>
      <c r="Y92" s="117"/>
    </row>
    <row r="93" spans="20:27" x14ac:dyDescent="0.25">
      <c r="T93" s="80">
        <f t="shared" si="16"/>
        <v>0.46630136986301379</v>
      </c>
      <c r="U93" s="80"/>
      <c r="V93" s="81">
        <f t="shared" si="17"/>
        <v>1.3886000000000001</v>
      </c>
      <c r="W93" s="65"/>
      <c r="X93" s="65"/>
      <c r="Y93" s="117"/>
    </row>
    <row r="94" spans="20:27" x14ac:dyDescent="0.25">
      <c r="T94" s="80">
        <f t="shared" si="16"/>
        <v>0.4713013698630138</v>
      </c>
      <c r="U94" s="80"/>
      <c r="V94" s="81">
        <f t="shared" si="17"/>
        <v>1.3886000000000001</v>
      </c>
      <c r="W94" s="65"/>
      <c r="X94" s="65"/>
      <c r="Y94" s="117"/>
    </row>
    <row r="95" spans="20:27" x14ac:dyDescent="0.25">
      <c r="T95" s="80">
        <f t="shared" si="16"/>
        <v>0.4763013698630138</v>
      </c>
      <c r="U95" s="80"/>
      <c r="V95" s="81">
        <f t="shared" si="17"/>
        <v>1.3886000000000001</v>
      </c>
      <c r="W95" s="65"/>
      <c r="X95" s="65"/>
      <c r="Y95" s="117"/>
    </row>
    <row r="96" spans="20:27" x14ac:dyDescent="0.25">
      <c r="T96" s="80">
        <f t="shared" si="16"/>
        <v>0.48130136986301381</v>
      </c>
      <c r="U96" s="80"/>
      <c r="V96" s="81">
        <f t="shared" si="17"/>
        <v>1.5886</v>
      </c>
      <c r="W96" s="65"/>
      <c r="X96" s="65"/>
      <c r="Y96" s="117">
        <v>0.2</v>
      </c>
    </row>
    <row r="97" spans="20:25" x14ac:dyDescent="0.25">
      <c r="T97" s="80">
        <f t="shared" si="16"/>
        <v>0.48630136986301381</v>
      </c>
      <c r="U97" s="80"/>
      <c r="V97" s="81">
        <f t="shared" si="17"/>
        <v>1.3886000000000001</v>
      </c>
      <c r="W97" s="65"/>
      <c r="X97" s="65"/>
      <c r="Y97" s="117"/>
    </row>
    <row r="98" spans="20:25" x14ac:dyDescent="0.25">
      <c r="T98" s="80">
        <f t="shared" si="16"/>
        <v>0.49130136986301381</v>
      </c>
      <c r="U98" s="80"/>
      <c r="V98" s="81">
        <f t="shared" si="17"/>
        <v>1.3886000000000001</v>
      </c>
      <c r="W98" s="65"/>
      <c r="X98" s="65"/>
      <c r="Y98" s="117"/>
    </row>
    <row r="99" spans="20:25" x14ac:dyDescent="0.25">
      <c r="T99" s="80">
        <f t="shared" si="16"/>
        <v>0.49630136986301382</v>
      </c>
      <c r="U99" s="80"/>
      <c r="V99" s="81">
        <f t="shared" si="17"/>
        <v>1.3886000000000001</v>
      </c>
      <c r="W99" s="65"/>
      <c r="X99" s="65"/>
      <c r="Y99" s="117"/>
    </row>
    <row r="100" spans="20:25" x14ac:dyDescent="0.25">
      <c r="T100" s="80">
        <f t="shared" si="16"/>
        <v>0.50130136986301377</v>
      </c>
      <c r="U100" s="80"/>
      <c r="V100" s="81">
        <f t="shared" si="17"/>
        <v>1.3886000000000001</v>
      </c>
      <c r="W100" s="65"/>
      <c r="X100" s="65"/>
      <c r="Y100" s="117"/>
    </row>
    <row r="101" spans="20:25" x14ac:dyDescent="0.25">
      <c r="T101" s="80">
        <f t="shared" si="16"/>
        <v>0.50630136986301377</v>
      </c>
      <c r="U101" s="80"/>
      <c r="V101" s="81">
        <f t="shared" si="17"/>
        <v>1.3886000000000001</v>
      </c>
      <c r="W101" s="79">
        <f>V101</f>
        <v>1.3886000000000001</v>
      </c>
      <c r="X101" s="65"/>
      <c r="Y101" s="117"/>
    </row>
    <row r="102" spans="20:25" x14ac:dyDescent="0.25">
      <c r="T102" s="82">
        <v>0.52</v>
      </c>
      <c r="U102" s="82"/>
      <c r="V102" s="83"/>
      <c r="W102" s="84">
        <f>AD11</f>
        <v>1.3025199999999999</v>
      </c>
      <c r="X102" s="83"/>
      <c r="Y102" s="121" t="s">
        <v>66</v>
      </c>
    </row>
    <row r="103" spans="20:25" x14ac:dyDescent="0.25">
      <c r="T103" s="85">
        <f t="shared" ref="T103:T116" si="18">T102+0.05</f>
        <v>0.57000000000000006</v>
      </c>
      <c r="U103" s="85"/>
      <c r="V103" s="83"/>
      <c r="W103" s="86">
        <f>$W$102*(1-Y103)+$W$107*Y103</f>
        <v>1.2832460000000001</v>
      </c>
      <c r="X103" s="83"/>
      <c r="Y103" s="121">
        <v>0.2</v>
      </c>
    </row>
    <row r="104" spans="20:25" x14ac:dyDescent="0.25">
      <c r="T104" s="85">
        <f t="shared" si="18"/>
        <v>0.62000000000000011</v>
      </c>
      <c r="U104" s="85"/>
      <c r="V104" s="83"/>
      <c r="W104" s="86">
        <f>$W$102*(1-Y104)+$W$107*Y104</f>
        <v>1.2639719999999999</v>
      </c>
      <c r="X104" s="83"/>
      <c r="Y104" s="121">
        <v>0.4</v>
      </c>
    </row>
    <row r="105" spans="20:25" x14ac:dyDescent="0.25">
      <c r="T105" s="85">
        <f t="shared" si="18"/>
        <v>0.67000000000000015</v>
      </c>
      <c r="U105" s="85"/>
      <c r="V105" s="83"/>
      <c r="W105" s="86">
        <f>$W$102*(1-Y105)+$W$107*Y105</f>
        <v>1.2446980000000001</v>
      </c>
      <c r="X105" s="83"/>
      <c r="Y105" s="121">
        <v>0.6</v>
      </c>
    </row>
    <row r="106" spans="20:25" x14ac:dyDescent="0.25">
      <c r="T106" s="85">
        <f t="shared" si="18"/>
        <v>0.7200000000000002</v>
      </c>
      <c r="U106" s="85"/>
      <c r="V106" s="83"/>
      <c r="W106" s="86">
        <f>$W$102*(1-Y106)+$W$107*Y106</f>
        <v>1.2254240000000001</v>
      </c>
      <c r="X106" s="83"/>
      <c r="Y106" s="121">
        <v>0.8</v>
      </c>
    </row>
    <row r="107" spans="20:25" x14ac:dyDescent="0.25">
      <c r="T107" s="82">
        <f>AC12</f>
        <v>0.76986301369863008</v>
      </c>
      <c r="U107" s="82"/>
      <c r="V107" s="83"/>
      <c r="W107" s="84">
        <f>AD12</f>
        <v>1.2061500000000001</v>
      </c>
      <c r="X107" s="83"/>
      <c r="Y107" s="121" t="s">
        <v>66</v>
      </c>
    </row>
    <row r="108" spans="20:25" x14ac:dyDescent="0.25">
      <c r="T108" s="85">
        <f t="shared" si="18"/>
        <v>0.81986301369863013</v>
      </c>
      <c r="U108" s="85"/>
      <c r="V108" s="83"/>
      <c r="W108" s="86">
        <f>$W$107*(1-Y108)+$W$112*Y108</f>
        <v>1.1968200000000002</v>
      </c>
      <c r="X108" s="83"/>
      <c r="Y108" s="121">
        <v>0.2</v>
      </c>
    </row>
    <row r="109" spans="20:25" x14ac:dyDescent="0.25">
      <c r="T109" s="85">
        <f t="shared" si="18"/>
        <v>0.86986301369863017</v>
      </c>
      <c r="U109" s="85"/>
      <c r="V109" s="83"/>
      <c r="W109" s="86">
        <f>$W$107*(1-Y109)+$W$112*Y109</f>
        <v>1.1874899999999999</v>
      </c>
      <c r="X109" s="83"/>
      <c r="Y109" s="121">
        <v>0.4</v>
      </c>
    </row>
    <row r="110" spans="20:25" x14ac:dyDescent="0.25">
      <c r="T110" s="85">
        <f t="shared" si="18"/>
        <v>0.91986301369863022</v>
      </c>
      <c r="U110" s="85"/>
      <c r="V110" s="83"/>
      <c r="W110" s="86">
        <f>$W$107*(1-Y110)+$W$112*Y110</f>
        <v>1.1781600000000001</v>
      </c>
      <c r="X110" s="83"/>
      <c r="Y110" s="121">
        <v>0.6</v>
      </c>
    </row>
    <row r="111" spans="20:25" x14ac:dyDescent="0.25">
      <c r="T111" s="85">
        <f t="shared" si="18"/>
        <v>0.96986301369863026</v>
      </c>
      <c r="U111" s="85"/>
      <c r="V111" s="83"/>
      <c r="W111" s="86">
        <f>$W$107*(1-Y111)+$W$112*Y111</f>
        <v>1.1688299999999998</v>
      </c>
      <c r="X111" s="83"/>
      <c r="Y111" s="121">
        <v>0.8</v>
      </c>
    </row>
    <row r="112" spans="20:25" x14ac:dyDescent="0.25">
      <c r="T112" s="82">
        <f>AC13</f>
        <v>1.0191780821917809</v>
      </c>
      <c r="U112" s="82"/>
      <c r="V112" s="83"/>
      <c r="W112" s="84">
        <f>AD13</f>
        <v>1.1595</v>
      </c>
      <c r="X112" s="83"/>
      <c r="Y112" s="121" t="s">
        <v>66</v>
      </c>
    </row>
    <row r="113" spans="20:25" x14ac:dyDescent="0.25">
      <c r="T113" s="85">
        <f t="shared" si="18"/>
        <v>1.0691780821917809</v>
      </c>
      <c r="U113" s="85"/>
      <c r="V113" s="83"/>
      <c r="W113" s="86">
        <f>$W$112*(1-Y113)+$W$117*Y113</f>
        <v>1.1642459999999994</v>
      </c>
      <c r="X113" s="83"/>
      <c r="Y113" s="121">
        <v>0.2</v>
      </c>
    </row>
    <row r="114" spans="20:25" x14ac:dyDescent="0.25">
      <c r="T114" s="85">
        <f t="shared" si="18"/>
        <v>1.1191780821917809</v>
      </c>
      <c r="U114" s="85"/>
      <c r="V114" s="83"/>
      <c r="W114" s="86">
        <f>$W$112*(1-Y114)+$W$117*Y114</f>
        <v>1.1689919999999991</v>
      </c>
      <c r="X114" s="83"/>
      <c r="Y114" s="121">
        <v>0.4</v>
      </c>
    </row>
    <row r="115" spans="20:25" x14ac:dyDescent="0.25">
      <c r="T115" s="85">
        <f t="shared" si="18"/>
        <v>1.169178082191781</v>
      </c>
      <c r="U115" s="85"/>
      <c r="V115" s="83"/>
      <c r="W115" s="86">
        <f>$W$112*(1-Y115)+$W$117*Y115</f>
        <v>1.1737379999999986</v>
      </c>
      <c r="X115" s="83"/>
      <c r="Y115" s="121">
        <v>0.6</v>
      </c>
    </row>
    <row r="116" spans="20:25" x14ac:dyDescent="0.25">
      <c r="T116" s="85">
        <f t="shared" si="18"/>
        <v>1.219178082191781</v>
      </c>
      <c r="U116" s="85"/>
      <c r="V116" s="83"/>
      <c r="W116" s="86">
        <f>$W$112*(1-Y116)+$W$117*Y116</f>
        <v>1.1784839999999983</v>
      </c>
      <c r="X116" s="83"/>
      <c r="Y116" s="121">
        <v>0.8</v>
      </c>
    </row>
    <row r="117" spans="20:25" x14ac:dyDescent="0.25">
      <c r="T117" s="82">
        <f t="shared" ref="T117:T126" si="19">AC14</f>
        <v>1.2684931506849315</v>
      </c>
      <c r="U117" s="82"/>
      <c r="V117" s="83"/>
      <c r="W117" s="84">
        <f>AD14</f>
        <v>1.1832299999999978</v>
      </c>
      <c r="X117" s="84">
        <f>W117</f>
        <v>1.1832299999999978</v>
      </c>
      <c r="Y117" s="121"/>
    </row>
    <row r="118" spans="20:25" x14ac:dyDescent="0.25">
      <c r="T118" s="87">
        <f t="shared" si="19"/>
        <v>3</v>
      </c>
      <c r="U118" s="87"/>
      <c r="V118" s="88"/>
      <c r="W118" s="88"/>
      <c r="X118" s="88">
        <f t="shared" ref="X118:X126" si="20">AD15</f>
        <v>1.22559</v>
      </c>
      <c r="Y118" s="120"/>
    </row>
    <row r="119" spans="20:25" x14ac:dyDescent="0.25">
      <c r="T119" s="87">
        <f t="shared" si="19"/>
        <v>5</v>
      </c>
      <c r="U119" s="87"/>
      <c r="V119" s="88"/>
      <c r="W119" s="88"/>
      <c r="X119" s="88">
        <f t="shared" si="20"/>
        <v>1.20502</v>
      </c>
      <c r="Y119" s="120"/>
    </row>
    <row r="120" spans="20:25" x14ac:dyDescent="0.25">
      <c r="T120" s="87">
        <f t="shared" si="19"/>
        <v>7</v>
      </c>
      <c r="U120" s="87"/>
      <c r="V120" s="88"/>
      <c r="W120" s="88"/>
      <c r="X120" s="88">
        <f t="shared" si="20"/>
        <v>1.23028</v>
      </c>
      <c r="Y120" s="120"/>
    </row>
    <row r="121" spans="20:25" x14ac:dyDescent="0.25">
      <c r="T121" s="87">
        <f t="shared" si="19"/>
        <v>10</v>
      </c>
      <c r="U121" s="87"/>
      <c r="V121" s="88"/>
      <c r="W121" s="88"/>
      <c r="X121" s="88">
        <f t="shared" si="20"/>
        <v>1.29071</v>
      </c>
      <c r="Y121" s="120"/>
    </row>
    <row r="122" spans="20:25" x14ac:dyDescent="0.25">
      <c r="T122" s="87">
        <f t="shared" si="19"/>
        <v>15</v>
      </c>
      <c r="U122" s="87"/>
      <c r="V122" s="88"/>
      <c r="W122" s="88"/>
      <c r="X122" s="88">
        <f t="shared" si="20"/>
        <v>1.36849</v>
      </c>
      <c r="Y122" s="120"/>
    </row>
    <row r="123" spans="20:25" x14ac:dyDescent="0.25">
      <c r="T123" s="87">
        <f t="shared" si="19"/>
        <v>20</v>
      </c>
      <c r="U123" s="87"/>
      <c r="V123" s="88"/>
      <c r="W123" s="88"/>
      <c r="X123" s="88">
        <f t="shared" si="20"/>
        <v>1.4110199999999999</v>
      </c>
      <c r="Y123" s="120"/>
    </row>
    <row r="124" spans="20:25" x14ac:dyDescent="0.25">
      <c r="T124" s="87">
        <f t="shared" si="19"/>
        <v>30</v>
      </c>
      <c r="U124" s="87"/>
      <c r="V124" s="88"/>
      <c r="W124" s="88"/>
      <c r="X124" s="88">
        <f t="shared" si="20"/>
        <v>1.4213499999999999</v>
      </c>
      <c r="Y124" s="120"/>
    </row>
    <row r="125" spans="20:25" x14ac:dyDescent="0.25">
      <c r="T125" s="87">
        <f t="shared" si="19"/>
        <v>40</v>
      </c>
      <c r="U125" s="87"/>
      <c r="V125" s="88"/>
      <c r="W125" s="88"/>
      <c r="X125" s="88">
        <f t="shared" si="20"/>
        <v>1.40063</v>
      </c>
      <c r="Y125" s="120"/>
    </row>
    <row r="126" spans="20:25" x14ac:dyDescent="0.25">
      <c r="T126" s="87">
        <f t="shared" si="19"/>
        <v>50</v>
      </c>
      <c r="U126" s="87"/>
      <c r="V126" s="88"/>
      <c r="W126" s="88"/>
      <c r="X126" s="88">
        <f t="shared" si="20"/>
        <v>1.36656</v>
      </c>
      <c r="Y126" s="120"/>
    </row>
    <row r="148" spans="29:30" x14ac:dyDescent="0.25">
      <c r="AC148" s="2"/>
      <c r="AD148" s="2"/>
    </row>
    <row r="149" spans="29:30" x14ac:dyDescent="0.25">
      <c r="AC149" s="2"/>
      <c r="AD149" s="2"/>
    </row>
    <row r="150" spans="29:30" x14ac:dyDescent="0.25">
      <c r="AC150" s="2"/>
      <c r="AD150" s="2"/>
    </row>
    <row r="151" spans="29:30" x14ac:dyDescent="0.25">
      <c r="AC151" s="2"/>
      <c r="AD151" s="2"/>
    </row>
    <row r="152" spans="29:30" x14ac:dyDescent="0.25">
      <c r="AC152" s="2"/>
      <c r="AD152" s="2"/>
    </row>
    <row r="153" spans="29:30" x14ac:dyDescent="0.25">
      <c r="AC153" s="2"/>
      <c r="AD153" s="2"/>
    </row>
    <row r="154" spans="29:30" x14ac:dyDescent="0.25">
      <c r="AC154" s="2"/>
      <c r="AD154" s="2"/>
    </row>
    <row r="155" spans="29:30" x14ac:dyDescent="0.25">
      <c r="AC155" s="2"/>
      <c r="AD155" s="2"/>
    </row>
    <row r="156" spans="29:30" x14ac:dyDescent="0.25">
      <c r="AC156" s="2"/>
      <c r="AD156" s="2"/>
    </row>
    <row r="157" spans="29:30" x14ac:dyDescent="0.25">
      <c r="AC157" s="2"/>
      <c r="AD157" s="2"/>
    </row>
    <row r="158" spans="29:30" x14ac:dyDescent="0.25">
      <c r="AC158" s="2"/>
      <c r="AD158" s="2"/>
    </row>
    <row r="159" spans="29:30" x14ac:dyDescent="0.25">
      <c r="AC159" s="2"/>
      <c r="AD159" s="2"/>
    </row>
    <row r="160" spans="29:30" x14ac:dyDescent="0.25">
      <c r="AC160" s="2"/>
      <c r="AD160" s="2"/>
    </row>
    <row r="161" spans="29:30" x14ac:dyDescent="0.25">
      <c r="AC161" s="2"/>
      <c r="AD161" s="2"/>
    </row>
    <row r="162" spans="29:30" x14ac:dyDescent="0.25">
      <c r="AC162" s="2"/>
      <c r="AD162" s="2"/>
    </row>
    <row r="163" spans="29:30" x14ac:dyDescent="0.25">
      <c r="AC163" s="2"/>
      <c r="AD163" s="2"/>
    </row>
    <row r="164" spans="29:30" x14ac:dyDescent="0.25">
      <c r="AC164" s="2"/>
      <c r="AD164" s="2"/>
    </row>
    <row r="165" spans="29:30" x14ac:dyDescent="0.25">
      <c r="AC165" s="2"/>
      <c r="AD165" s="2"/>
    </row>
    <row r="166" spans="29:30" x14ac:dyDescent="0.25">
      <c r="AC166" s="2"/>
      <c r="AD166" s="2"/>
    </row>
    <row r="167" spans="29:30" x14ac:dyDescent="0.25">
      <c r="AC167" s="2"/>
      <c r="AD167" s="2"/>
    </row>
    <row r="168" spans="29:30" x14ac:dyDescent="0.25">
      <c r="AC168" s="2"/>
      <c r="AD168" s="2"/>
    </row>
    <row r="169" spans="29:30" x14ac:dyDescent="0.25">
      <c r="AC169" s="2"/>
      <c r="AD169" s="2"/>
    </row>
    <row r="170" spans="29:30" x14ac:dyDescent="0.25">
      <c r="AC170" s="2"/>
      <c r="AD170" s="2"/>
    </row>
    <row r="171" spans="29:30" x14ac:dyDescent="0.25">
      <c r="AC171" s="2"/>
      <c r="AD171" s="2"/>
    </row>
    <row r="172" spans="29:30" x14ac:dyDescent="0.25">
      <c r="AC172" s="2"/>
      <c r="AD172" s="2"/>
    </row>
    <row r="173" spans="29:30" x14ac:dyDescent="0.25">
      <c r="AC173" s="2"/>
      <c r="AD173" s="2"/>
    </row>
    <row r="174" spans="29:30" x14ac:dyDescent="0.25">
      <c r="AC174" s="2"/>
      <c r="AD174" s="2"/>
    </row>
    <row r="175" spans="29:30" x14ac:dyDescent="0.25">
      <c r="AC175" s="2"/>
      <c r="AD175" s="2"/>
    </row>
    <row r="176" spans="29:30" x14ac:dyDescent="0.25">
      <c r="AC176" s="2"/>
      <c r="AD176" s="2"/>
    </row>
    <row r="177" spans="29:30" x14ac:dyDescent="0.25">
      <c r="AC177" s="2"/>
      <c r="AD177" s="2"/>
    </row>
    <row r="178" spans="29:30" x14ac:dyDescent="0.25">
      <c r="AC178" s="2"/>
      <c r="AD178" s="2"/>
    </row>
    <row r="179" spans="29:30" x14ac:dyDescent="0.25">
      <c r="AC179" s="2"/>
      <c r="AD179" s="2"/>
    </row>
    <row r="180" spans="29:30" x14ac:dyDescent="0.25">
      <c r="AC180" s="2"/>
      <c r="AD180" s="2"/>
    </row>
    <row r="181" spans="29:30" x14ac:dyDescent="0.25">
      <c r="AC181" s="2"/>
      <c r="AD181" s="2"/>
    </row>
    <row r="182" spans="29:30" x14ac:dyDescent="0.25">
      <c r="AC182" s="2"/>
      <c r="AD182" s="2"/>
    </row>
    <row r="183" spans="29:30" x14ac:dyDescent="0.25">
      <c r="AC183" s="2"/>
      <c r="AD183" s="2"/>
    </row>
    <row r="184" spans="29:30" x14ac:dyDescent="0.25">
      <c r="AC184" s="2"/>
      <c r="AD184" s="2"/>
    </row>
    <row r="185" spans="29:30" x14ac:dyDescent="0.25">
      <c r="AC185" s="2"/>
      <c r="AD185" s="2"/>
    </row>
    <row r="186" spans="29:30" x14ac:dyDescent="0.25">
      <c r="AC186" s="2"/>
      <c r="AD186" s="2"/>
    </row>
    <row r="187" spans="29:30" x14ac:dyDescent="0.25">
      <c r="AC187" s="2"/>
      <c r="AD187" s="2"/>
    </row>
    <row r="188" spans="29:30" x14ac:dyDescent="0.25">
      <c r="AC188" s="2"/>
      <c r="AD188" s="2"/>
    </row>
    <row r="189" spans="29:30" x14ac:dyDescent="0.25">
      <c r="AC189" s="2"/>
      <c r="AD189" s="2"/>
    </row>
    <row r="190" spans="29:30" x14ac:dyDescent="0.25">
      <c r="AC190" s="2"/>
      <c r="AD190" s="2"/>
    </row>
    <row r="191" spans="29:30" x14ac:dyDescent="0.25">
      <c r="AC191" s="2"/>
      <c r="AD191" s="2"/>
    </row>
    <row r="192" spans="29:30" x14ac:dyDescent="0.25">
      <c r="AC192" s="2"/>
      <c r="AD192" s="2"/>
    </row>
    <row r="193" spans="29:30" x14ac:dyDescent="0.25">
      <c r="AC193" s="2"/>
      <c r="AD193" s="2"/>
    </row>
    <row r="194" spans="29:30" x14ac:dyDescent="0.25">
      <c r="AC194" s="2"/>
      <c r="AD194" s="2"/>
    </row>
    <row r="195" spans="29:30" x14ac:dyDescent="0.25">
      <c r="AC195" s="2"/>
      <c r="AD195" s="2"/>
    </row>
    <row r="196" spans="29:30" x14ac:dyDescent="0.25">
      <c r="AC196" s="2"/>
      <c r="AD196" s="2"/>
    </row>
    <row r="197" spans="29:30" x14ac:dyDescent="0.25">
      <c r="AC197" s="2"/>
      <c r="AD197" s="2"/>
    </row>
    <row r="198" spans="29:30" x14ac:dyDescent="0.25">
      <c r="AC198" s="2"/>
      <c r="AD198" s="2"/>
    </row>
    <row r="199" spans="29:30" x14ac:dyDescent="0.25">
      <c r="AC199" s="2"/>
      <c r="AD199" s="2"/>
    </row>
    <row r="200" spans="29:30" x14ac:dyDescent="0.25">
      <c r="AC200" s="2"/>
      <c r="AD200" s="2"/>
    </row>
    <row r="201" spans="29:30" x14ac:dyDescent="0.25">
      <c r="AC201" s="2"/>
      <c r="AD201" s="2"/>
    </row>
    <row r="202" spans="29:30" x14ac:dyDescent="0.25">
      <c r="AC202" s="2"/>
      <c r="AD202" s="2"/>
    </row>
    <row r="203" spans="29:30" x14ac:dyDescent="0.25">
      <c r="AC203" s="2"/>
      <c r="AD203" s="2"/>
    </row>
    <row r="204" spans="29:30" x14ac:dyDescent="0.25">
      <c r="AC204" s="2"/>
      <c r="AD204" s="2"/>
    </row>
    <row r="205" spans="29:30" x14ac:dyDescent="0.25">
      <c r="AC205" s="2"/>
      <c r="AD205" s="2"/>
    </row>
    <row r="206" spans="29:30" x14ac:dyDescent="0.25">
      <c r="AC206" s="2"/>
      <c r="AD206" s="2"/>
    </row>
    <row r="207" spans="29:30" x14ac:dyDescent="0.25">
      <c r="AC207" s="2"/>
      <c r="AD207" s="2"/>
    </row>
    <row r="208" spans="29:30" x14ac:dyDescent="0.25">
      <c r="AC208" s="2"/>
      <c r="AD208" s="2"/>
    </row>
    <row r="209" spans="29:30" x14ac:dyDescent="0.25">
      <c r="AC209" s="2"/>
      <c r="AD209" s="2"/>
    </row>
    <row r="210" spans="29:30" x14ac:dyDescent="0.25">
      <c r="AC210" s="2"/>
      <c r="AD210" s="2"/>
    </row>
    <row r="211" spans="29:30" x14ac:dyDescent="0.25">
      <c r="AC211" s="2"/>
      <c r="AD211" s="2"/>
    </row>
    <row r="212" spans="29:30" x14ac:dyDescent="0.25">
      <c r="AC212" s="2"/>
      <c r="AD212" s="2"/>
    </row>
    <row r="213" spans="29:30" x14ac:dyDescent="0.25">
      <c r="AC213" s="2"/>
      <c r="AD213" s="2"/>
    </row>
    <row r="214" spans="29:30" x14ac:dyDescent="0.25">
      <c r="AC214" s="2"/>
      <c r="AD214" s="2"/>
    </row>
    <row r="215" spans="29:30" x14ac:dyDescent="0.25">
      <c r="AC215" s="2"/>
      <c r="AD215" s="2"/>
    </row>
    <row r="216" spans="29:30" x14ac:dyDescent="0.25">
      <c r="AC216" s="2"/>
      <c r="AD216" s="2"/>
    </row>
    <row r="217" spans="29:30" x14ac:dyDescent="0.25">
      <c r="AC217" s="2"/>
      <c r="AD217" s="2"/>
    </row>
    <row r="218" spans="29:30" x14ac:dyDescent="0.25">
      <c r="AC218" s="2"/>
      <c r="AD218" s="2"/>
    </row>
    <row r="219" spans="29:30" x14ac:dyDescent="0.25">
      <c r="AC219" s="2"/>
      <c r="AD219" s="2"/>
    </row>
    <row r="220" spans="29:30" x14ac:dyDescent="0.25">
      <c r="AC220" s="2"/>
      <c r="AD220" s="2"/>
    </row>
    <row r="221" spans="29:30" x14ac:dyDescent="0.25">
      <c r="AC221" s="2"/>
      <c r="AD221" s="2"/>
    </row>
    <row r="222" spans="29:30" x14ac:dyDescent="0.25">
      <c r="AC222" s="2"/>
      <c r="AD222" s="2"/>
    </row>
    <row r="223" spans="29:30" x14ac:dyDescent="0.25">
      <c r="AC223" s="2"/>
      <c r="AD223" s="2"/>
    </row>
    <row r="224" spans="29:30" x14ac:dyDescent="0.25">
      <c r="AC224" s="2"/>
      <c r="AD224" s="2"/>
    </row>
    <row r="225" spans="29:30" x14ac:dyDescent="0.25">
      <c r="AC225" s="2"/>
      <c r="AD225" s="2"/>
    </row>
    <row r="226" spans="29:30" x14ac:dyDescent="0.25">
      <c r="AC226" s="2"/>
      <c r="AD226" s="2"/>
    </row>
    <row r="227" spans="29:30" x14ac:dyDescent="0.25">
      <c r="AC227" s="2"/>
      <c r="AD227" s="2"/>
    </row>
    <row r="228" spans="29:30" x14ac:dyDescent="0.25">
      <c r="AC228" s="2"/>
      <c r="AD228" s="2"/>
    </row>
    <row r="229" spans="29:30" x14ac:dyDescent="0.25">
      <c r="AC229" s="2"/>
      <c r="AD229" s="2"/>
    </row>
    <row r="230" spans="29:30" x14ac:dyDescent="0.25">
      <c r="AC230" s="2"/>
      <c r="AD230" s="2"/>
    </row>
    <row r="231" spans="29:30" x14ac:dyDescent="0.25">
      <c r="AC231" s="2"/>
      <c r="AD231" s="2"/>
    </row>
    <row r="232" spans="29:30" x14ac:dyDescent="0.25">
      <c r="AC232" s="2"/>
      <c r="AD232" s="2"/>
    </row>
    <row r="233" spans="29:30" x14ac:dyDescent="0.25">
      <c r="AC233" s="2"/>
      <c r="AD233" s="2"/>
    </row>
    <row r="234" spans="29:30" x14ac:dyDescent="0.25">
      <c r="AC234" s="2"/>
      <c r="AD234" s="2"/>
    </row>
    <row r="235" spans="29:30" x14ac:dyDescent="0.25">
      <c r="AC235" s="2"/>
      <c r="AD235" s="2"/>
    </row>
    <row r="236" spans="29:30" x14ac:dyDescent="0.25">
      <c r="AC236" s="2"/>
      <c r="AD236" s="2"/>
    </row>
    <row r="237" spans="29:30" x14ac:dyDescent="0.25">
      <c r="AC237" s="2"/>
      <c r="AD237" s="2"/>
    </row>
    <row r="238" spans="29:30" x14ac:dyDescent="0.25">
      <c r="AC238" s="2"/>
      <c r="AD238" s="2"/>
    </row>
    <row r="239" spans="29:30" x14ac:dyDescent="0.25">
      <c r="AC239" s="2"/>
      <c r="AD239" s="2"/>
    </row>
    <row r="240" spans="29:30" x14ac:dyDescent="0.25">
      <c r="AC240" s="2"/>
      <c r="AD240" s="2"/>
    </row>
    <row r="241" spans="29:30" x14ac:dyDescent="0.25">
      <c r="AC241" s="2"/>
      <c r="AD241" s="2"/>
    </row>
    <row r="242" spans="29:30" x14ac:dyDescent="0.25">
      <c r="AC242" s="2"/>
      <c r="AD242" s="2"/>
    </row>
    <row r="243" spans="29:30" x14ac:dyDescent="0.25">
      <c r="AC243" s="2"/>
      <c r="AD243" s="2"/>
    </row>
    <row r="244" spans="29:30" x14ac:dyDescent="0.25">
      <c r="AC244" s="2"/>
      <c r="AD244" s="2"/>
    </row>
    <row r="245" spans="29:30" x14ac:dyDescent="0.25">
      <c r="AC245" s="2"/>
      <c r="AD245" s="2"/>
    </row>
    <row r="246" spans="29:30" x14ac:dyDescent="0.25">
      <c r="AC246" s="2"/>
      <c r="AD246" s="2"/>
    </row>
    <row r="247" spans="29:30" x14ac:dyDescent="0.25">
      <c r="AC247" s="2"/>
      <c r="AD247" s="2"/>
    </row>
    <row r="248" spans="29:30" x14ac:dyDescent="0.25">
      <c r="AC248" s="2"/>
      <c r="AD248" s="2"/>
    </row>
    <row r="249" spans="29:30" x14ac:dyDescent="0.25">
      <c r="AC249" s="2"/>
      <c r="AD249" s="2"/>
    </row>
    <row r="250" spans="29:30" x14ac:dyDescent="0.25">
      <c r="AC250" s="2"/>
      <c r="AD250" s="2"/>
    </row>
    <row r="251" spans="29:30" x14ac:dyDescent="0.25">
      <c r="AC251" s="2"/>
      <c r="AD251" s="2"/>
    </row>
    <row r="252" spans="29:30" x14ac:dyDescent="0.25">
      <c r="AC252" s="2"/>
      <c r="AD252" s="2"/>
    </row>
    <row r="253" spans="29:30" x14ac:dyDescent="0.25">
      <c r="AC253" s="2"/>
      <c r="AD253" s="2"/>
    </row>
    <row r="254" spans="29:30" x14ac:dyDescent="0.25">
      <c r="AC254" s="2"/>
      <c r="AD254" s="2"/>
    </row>
    <row r="255" spans="29:30" x14ac:dyDescent="0.25">
      <c r="AC255" s="2"/>
      <c r="AD255" s="2"/>
    </row>
    <row r="256" spans="29:30" x14ac:dyDescent="0.25">
      <c r="AC256" s="2"/>
      <c r="AD256" s="2"/>
    </row>
    <row r="257" spans="29:30" x14ac:dyDescent="0.25">
      <c r="AC257" s="2"/>
      <c r="AD257" s="2"/>
    </row>
    <row r="258" spans="29:30" x14ac:dyDescent="0.25">
      <c r="AC258" s="2"/>
      <c r="AD258" s="2"/>
    </row>
    <row r="259" spans="29:30" x14ac:dyDescent="0.25">
      <c r="AC259" s="2"/>
      <c r="AD259" s="2"/>
    </row>
    <row r="260" spans="29:30" x14ac:dyDescent="0.25">
      <c r="AC260" s="2"/>
      <c r="AD260" s="2"/>
    </row>
    <row r="261" spans="29:30" x14ac:dyDescent="0.25">
      <c r="AC261" s="2"/>
      <c r="AD261" s="2"/>
    </row>
    <row r="262" spans="29:30" x14ac:dyDescent="0.25">
      <c r="AC262" s="2"/>
      <c r="AD262" s="2"/>
    </row>
    <row r="263" spans="29:30" x14ac:dyDescent="0.25">
      <c r="AC263" s="2"/>
      <c r="AD263" s="2"/>
    </row>
    <row r="264" spans="29:30" x14ac:dyDescent="0.25">
      <c r="AC264" s="2"/>
      <c r="AD264" s="2"/>
    </row>
    <row r="265" spans="29:30" x14ac:dyDescent="0.25">
      <c r="AC265" s="2"/>
      <c r="AD265" s="2"/>
    </row>
    <row r="266" spans="29:30" x14ac:dyDescent="0.25">
      <c r="AC266" s="2"/>
      <c r="AD266" s="2"/>
    </row>
    <row r="267" spans="29:30" x14ac:dyDescent="0.25">
      <c r="AC267" s="2"/>
      <c r="AD267" s="2"/>
    </row>
    <row r="268" spans="29:30" x14ac:dyDescent="0.25">
      <c r="AC268" s="2"/>
      <c r="AD268" s="2"/>
    </row>
    <row r="269" spans="29:30" x14ac:dyDescent="0.25">
      <c r="AC269" s="2"/>
      <c r="AD269" s="2"/>
    </row>
    <row r="270" spans="29:30" x14ac:dyDescent="0.25">
      <c r="AC270" s="2"/>
      <c r="AD270" s="2"/>
    </row>
    <row r="271" spans="29:30" x14ac:dyDescent="0.25">
      <c r="AC271" s="2"/>
      <c r="AD271" s="2"/>
    </row>
    <row r="272" spans="29:30" x14ac:dyDescent="0.25">
      <c r="AC272" s="2"/>
      <c r="AD272" s="2"/>
    </row>
    <row r="273" spans="29:30" x14ac:dyDescent="0.25">
      <c r="AC273" s="2"/>
      <c r="AD273" s="2"/>
    </row>
    <row r="274" spans="29:30" x14ac:dyDescent="0.25">
      <c r="AC274" s="2"/>
      <c r="AD274" s="2"/>
    </row>
    <row r="275" spans="29:30" x14ac:dyDescent="0.25">
      <c r="AC275" s="2"/>
      <c r="AD275" s="2"/>
    </row>
    <row r="276" spans="29:30" x14ac:dyDescent="0.25">
      <c r="AC276" s="2"/>
      <c r="AD276" s="2"/>
    </row>
    <row r="277" spans="29:30" x14ac:dyDescent="0.25">
      <c r="AC277" s="2"/>
      <c r="AD277" s="2"/>
    </row>
    <row r="278" spans="29:30" x14ac:dyDescent="0.25">
      <c r="AC278" s="2"/>
      <c r="AD278" s="2"/>
    </row>
    <row r="279" spans="29:30" x14ac:dyDescent="0.25">
      <c r="AC279" s="2"/>
      <c r="AD279" s="2"/>
    </row>
    <row r="280" spans="29:30" x14ac:dyDescent="0.25">
      <c r="AC280" s="2"/>
      <c r="AD280" s="2"/>
    </row>
    <row r="281" spans="29:30" x14ac:dyDescent="0.25">
      <c r="AC281" s="2"/>
      <c r="AD281" s="2"/>
    </row>
    <row r="282" spans="29:30" x14ac:dyDescent="0.25">
      <c r="AC282" s="2"/>
      <c r="AD282" s="2"/>
    </row>
    <row r="283" spans="29:30" x14ac:dyDescent="0.25">
      <c r="AC283" s="2"/>
      <c r="AD283" s="2"/>
    </row>
    <row r="284" spans="29:30" x14ac:dyDescent="0.25">
      <c r="AC284" s="2"/>
      <c r="AD284" s="2"/>
    </row>
    <row r="285" spans="29:30" x14ac:dyDescent="0.25">
      <c r="AC285" s="2"/>
      <c r="AD285" s="2"/>
    </row>
    <row r="286" spans="29:30" x14ac:dyDescent="0.25">
      <c r="AC286" s="2"/>
      <c r="AD286" s="2"/>
    </row>
    <row r="287" spans="29:30" x14ac:dyDescent="0.25">
      <c r="AC287" s="2"/>
      <c r="AD287" s="2"/>
    </row>
    <row r="288" spans="29:30" x14ac:dyDescent="0.25">
      <c r="AC288" s="2"/>
      <c r="AD288" s="2"/>
    </row>
    <row r="289" spans="29:30" x14ac:dyDescent="0.25">
      <c r="AC289" s="2"/>
      <c r="AD289" s="2"/>
    </row>
    <row r="290" spans="29:30" x14ac:dyDescent="0.25">
      <c r="AC290" s="2"/>
      <c r="AD290" s="2"/>
    </row>
    <row r="291" spans="29:30" x14ac:dyDescent="0.25">
      <c r="AC291" s="2"/>
      <c r="AD291" s="2"/>
    </row>
    <row r="292" spans="29:30" x14ac:dyDescent="0.25">
      <c r="AC292" s="2"/>
      <c r="AD292" s="2"/>
    </row>
    <row r="293" spans="29:30" x14ac:dyDescent="0.25">
      <c r="AC293" s="2"/>
      <c r="AD293" s="2"/>
    </row>
    <row r="294" spans="29:30" x14ac:dyDescent="0.25">
      <c r="AC294" s="2"/>
      <c r="AD294" s="2"/>
    </row>
    <row r="295" spans="29:30" x14ac:dyDescent="0.25">
      <c r="AC295" s="2"/>
      <c r="AD295" s="2"/>
    </row>
    <row r="296" spans="29:30" x14ac:dyDescent="0.25">
      <c r="AC296" s="2"/>
      <c r="AD296" s="2"/>
    </row>
    <row r="297" spans="29:30" x14ac:dyDescent="0.25">
      <c r="AC297" s="2"/>
      <c r="AD297" s="2"/>
    </row>
    <row r="298" spans="29:30" x14ac:dyDescent="0.25">
      <c r="AC298" s="2"/>
      <c r="AD298" s="2"/>
    </row>
    <row r="299" spans="29:30" x14ac:dyDescent="0.25">
      <c r="AC299" s="2"/>
      <c r="AD299" s="2"/>
    </row>
    <row r="300" spans="29:30" x14ac:dyDescent="0.25">
      <c r="AC300" s="2"/>
      <c r="AD300" s="2"/>
    </row>
    <row r="301" spans="29:30" x14ac:dyDescent="0.25">
      <c r="AC301" s="2"/>
      <c r="AD301" s="2"/>
    </row>
    <row r="302" spans="29:30" x14ac:dyDescent="0.25">
      <c r="AC302" s="2"/>
      <c r="AD302" s="2"/>
    </row>
    <row r="303" spans="29:30" x14ac:dyDescent="0.25">
      <c r="AC303" s="2"/>
      <c r="AD303" s="2"/>
    </row>
    <row r="304" spans="29:30" x14ac:dyDescent="0.25">
      <c r="AC304" s="2"/>
      <c r="AD304" s="2"/>
    </row>
    <row r="305" spans="29:30" x14ac:dyDescent="0.25">
      <c r="AC305" s="2"/>
      <c r="AD305" s="2"/>
    </row>
    <row r="306" spans="29:30" x14ac:dyDescent="0.25">
      <c r="AC306" s="2"/>
      <c r="AD306" s="2"/>
    </row>
    <row r="307" spans="29:30" x14ac:dyDescent="0.25">
      <c r="AC307" s="2"/>
      <c r="AD307" s="2"/>
    </row>
    <row r="308" spans="29:30" x14ac:dyDescent="0.25">
      <c r="AC308" s="2"/>
      <c r="AD308" s="2"/>
    </row>
    <row r="309" spans="29:30" x14ac:dyDescent="0.25">
      <c r="AC309" s="2"/>
      <c r="AD309" s="2"/>
    </row>
    <row r="310" spans="29:30" x14ac:dyDescent="0.25">
      <c r="AC310" s="2"/>
      <c r="AD310" s="2"/>
    </row>
    <row r="311" spans="29:30" x14ac:dyDescent="0.25">
      <c r="AC311" s="2"/>
      <c r="AD311" s="2"/>
    </row>
    <row r="312" spans="29:30" x14ac:dyDescent="0.25">
      <c r="AC312" s="2"/>
      <c r="AD312" s="2"/>
    </row>
    <row r="313" spans="29:30" x14ac:dyDescent="0.25">
      <c r="AC313" s="2"/>
      <c r="AD313" s="2"/>
    </row>
    <row r="314" spans="29:30" x14ac:dyDescent="0.25">
      <c r="AC314" s="2"/>
      <c r="AD314" s="2"/>
    </row>
    <row r="315" spans="29:30" x14ac:dyDescent="0.25">
      <c r="AC315" s="2"/>
      <c r="AD315" s="2"/>
    </row>
    <row r="316" spans="29:30" x14ac:dyDescent="0.25">
      <c r="AC316" s="2"/>
      <c r="AD316" s="2"/>
    </row>
    <row r="317" spans="29:30" x14ac:dyDescent="0.25">
      <c r="AC317" s="2"/>
      <c r="AD317" s="2"/>
    </row>
    <row r="318" spans="29:30" x14ac:dyDescent="0.25">
      <c r="AC318" s="2"/>
      <c r="AD318" s="2"/>
    </row>
    <row r="319" spans="29:30" x14ac:dyDescent="0.25">
      <c r="AC319" s="2"/>
      <c r="AD319" s="2"/>
    </row>
    <row r="320" spans="29:30" x14ac:dyDescent="0.25">
      <c r="AC320" s="2"/>
      <c r="AD320" s="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K9:Y46"/>
  <sheetViews>
    <sheetView showGridLines="0" zoomScaleNormal="100" workbookViewId="0"/>
  </sheetViews>
  <sheetFormatPr defaultRowHeight="15" x14ac:dyDescent="0.25"/>
  <cols>
    <col min="2" max="2" width="12" bestFit="1" customWidth="1"/>
    <col min="3" max="3" width="11.140625" bestFit="1" customWidth="1"/>
    <col min="4" max="4" width="9.7109375" bestFit="1" customWidth="1"/>
    <col min="14" max="14" width="10.85546875" bestFit="1" customWidth="1"/>
    <col min="15" max="15" width="12" bestFit="1" customWidth="1"/>
    <col min="16" max="16" width="11.7109375" bestFit="1" customWidth="1"/>
    <col min="17" max="17" width="10.28515625" bestFit="1" customWidth="1"/>
    <col min="18" max="18" width="10.7109375" customWidth="1"/>
    <col min="19" max="19" width="10.42578125" customWidth="1"/>
    <col min="20" max="20" width="10.140625" bestFit="1" customWidth="1"/>
  </cols>
  <sheetData>
    <row r="9" spans="13:22" x14ac:dyDescent="0.25">
      <c r="N9" s="13" t="s">
        <v>184</v>
      </c>
    </row>
    <row r="10" spans="13:22" x14ac:dyDescent="0.25">
      <c r="N10" t="s">
        <v>183</v>
      </c>
    </row>
    <row r="12" spans="13:22" x14ac:dyDescent="0.25">
      <c r="N12" s="140" t="s">
        <v>162</v>
      </c>
      <c r="O12" s="44"/>
      <c r="P12" s="44"/>
      <c r="Q12" s="44"/>
      <c r="R12" s="44"/>
      <c r="S12" s="44"/>
      <c r="T12" s="141"/>
      <c r="U12" s="165" t="s">
        <v>163</v>
      </c>
      <c r="V12" s="166">
        <v>18475.21223877064</v>
      </c>
    </row>
    <row r="13" spans="13:22" ht="18" x14ac:dyDescent="0.25">
      <c r="N13" s="142" t="s">
        <v>166</v>
      </c>
      <c r="O13" s="143" t="s">
        <v>167</v>
      </c>
      <c r="P13" s="143" t="s">
        <v>168</v>
      </c>
      <c r="Q13" s="144" t="s">
        <v>169</v>
      </c>
      <c r="R13" s="144" t="s">
        <v>170</v>
      </c>
      <c r="S13" s="144" t="s">
        <v>171</v>
      </c>
      <c r="T13" s="144" t="s">
        <v>172</v>
      </c>
      <c r="U13" s="144" t="s">
        <v>173</v>
      </c>
      <c r="V13" s="161" t="s">
        <v>174</v>
      </c>
    </row>
    <row r="14" spans="13:22" x14ac:dyDescent="0.25">
      <c r="M14" s="179">
        <v>1</v>
      </c>
      <c r="N14" s="146">
        <v>43733</v>
      </c>
      <c r="O14" s="147">
        <v>44098.25</v>
      </c>
      <c r="P14" s="147">
        <v>44098.25</v>
      </c>
      <c r="Q14" s="148">
        <v>1</v>
      </c>
      <c r="R14" s="149">
        <v>1000000</v>
      </c>
      <c r="S14" s="150">
        <v>3.6695446037942926E-3</v>
      </c>
      <c r="T14" s="148">
        <v>1</v>
      </c>
      <c r="U14" s="167">
        <v>1.0041318001175765</v>
      </c>
      <c r="V14" s="162">
        <v>3684.7064286197019</v>
      </c>
    </row>
    <row r="15" spans="13:22" x14ac:dyDescent="0.25">
      <c r="M15" s="179">
        <v>2</v>
      </c>
      <c r="N15" s="151">
        <v>44098.25</v>
      </c>
      <c r="O15" s="152">
        <v>44463.5</v>
      </c>
      <c r="P15" s="152">
        <v>44463.5</v>
      </c>
      <c r="Q15" s="153">
        <v>2</v>
      </c>
      <c r="R15" s="154">
        <v>1000000</v>
      </c>
      <c r="S15" s="155">
        <v>3.6695446037942926E-3</v>
      </c>
      <c r="T15" s="153">
        <v>1</v>
      </c>
      <c r="U15" s="168">
        <v>1.0069279978978394</v>
      </c>
      <c r="V15" s="163">
        <v>3694.9672010954073</v>
      </c>
    </row>
    <row r="16" spans="13:22" x14ac:dyDescent="0.25">
      <c r="M16" s="179">
        <v>3</v>
      </c>
      <c r="N16" s="151">
        <v>44463.5</v>
      </c>
      <c r="O16" s="152">
        <v>44828.75</v>
      </c>
      <c r="P16" s="152">
        <v>44828.75</v>
      </c>
      <c r="Q16" s="153">
        <v>3</v>
      </c>
      <c r="R16" s="154">
        <v>1000000</v>
      </c>
      <c r="S16" s="155">
        <v>3.6695446037942926E-3</v>
      </c>
      <c r="T16" s="153">
        <v>1</v>
      </c>
      <c r="U16" s="168">
        <v>1.0083773610910693</v>
      </c>
      <c r="V16" s="163">
        <v>3700.2857039800624</v>
      </c>
    </row>
    <row r="17" spans="11:25" x14ac:dyDescent="0.25">
      <c r="M17" s="179">
        <v>4</v>
      </c>
      <c r="N17" s="151">
        <v>44828.75</v>
      </c>
      <c r="O17" s="152">
        <v>45194</v>
      </c>
      <c r="P17" s="152">
        <v>45194</v>
      </c>
      <c r="Q17" s="153">
        <v>4</v>
      </c>
      <c r="R17" s="154">
        <v>1000000</v>
      </c>
      <c r="S17" s="155">
        <v>3.6695446037942926E-3</v>
      </c>
      <c r="T17" s="153">
        <v>1</v>
      </c>
      <c r="U17" s="168">
        <v>1.0083773610910693</v>
      </c>
      <c r="V17" s="163">
        <v>3700.2857039800624</v>
      </c>
    </row>
    <row r="18" spans="11:25" x14ac:dyDescent="0.25">
      <c r="M18" s="179">
        <v>5</v>
      </c>
      <c r="N18" s="156">
        <v>45194</v>
      </c>
      <c r="O18" s="157">
        <v>45559.25</v>
      </c>
      <c r="P18" s="157">
        <v>45559.25</v>
      </c>
      <c r="Q18" s="158">
        <v>5</v>
      </c>
      <c r="R18" s="159">
        <v>1000000</v>
      </c>
      <c r="S18" s="160">
        <v>3.6695446037942926E-3</v>
      </c>
      <c r="T18" s="158">
        <v>1</v>
      </c>
      <c r="U18" s="169">
        <v>1.0069279978978394</v>
      </c>
      <c r="V18" s="164">
        <v>3694.9672010954073</v>
      </c>
    </row>
    <row r="19" spans="11:25" x14ac:dyDescent="0.25">
      <c r="M19" s="173"/>
    </row>
    <row r="20" spans="11:25" x14ac:dyDescent="0.25">
      <c r="M20" s="173"/>
    </row>
    <row r="21" spans="11:25" x14ac:dyDescent="0.25">
      <c r="M21" s="174"/>
      <c r="N21" s="140" t="s">
        <v>164</v>
      </c>
      <c r="O21" s="44"/>
      <c r="P21" s="44"/>
      <c r="Q21" s="44"/>
      <c r="R21" s="44"/>
      <c r="S21" s="44"/>
      <c r="T21" s="44"/>
      <c r="U21" s="44"/>
      <c r="V21" s="44"/>
      <c r="W21" s="44"/>
      <c r="X21" s="165" t="s">
        <v>165</v>
      </c>
      <c r="Y21" s="166">
        <v>18475.21223877064</v>
      </c>
    </row>
    <row r="22" spans="11:25" ht="18" x14ac:dyDescent="0.25">
      <c r="M22" s="175"/>
      <c r="N22" s="145" t="s">
        <v>175</v>
      </c>
      <c r="O22" s="143" t="s">
        <v>166</v>
      </c>
      <c r="P22" s="143" t="s">
        <v>167</v>
      </c>
      <c r="Q22" s="143" t="s">
        <v>168</v>
      </c>
      <c r="R22" s="144" t="s">
        <v>176</v>
      </c>
      <c r="S22" s="144" t="s">
        <v>170</v>
      </c>
      <c r="T22" s="144" t="s">
        <v>177</v>
      </c>
      <c r="U22" s="143" t="s">
        <v>178</v>
      </c>
      <c r="V22" s="143" t="s">
        <v>179</v>
      </c>
      <c r="W22" s="144" t="s">
        <v>180</v>
      </c>
      <c r="X22" s="144" t="s">
        <v>181</v>
      </c>
      <c r="Y22" s="161" t="s">
        <v>182</v>
      </c>
    </row>
    <row r="23" spans="11:25" x14ac:dyDescent="0.25">
      <c r="M23" s="180">
        <v>1</v>
      </c>
      <c r="N23" s="146">
        <v>43733</v>
      </c>
      <c r="O23" s="147">
        <v>43733</v>
      </c>
      <c r="P23" s="147">
        <v>43915.625</v>
      </c>
      <c r="Q23" s="147">
        <v>43915.625</v>
      </c>
      <c r="R23" s="148">
        <v>0.5</v>
      </c>
      <c r="S23" s="149">
        <v>1000000</v>
      </c>
      <c r="T23" s="176">
        <v>4.8733112772613422E-4</v>
      </c>
      <c r="U23" s="148">
        <v>0</v>
      </c>
      <c r="V23" s="150">
        <v>4.8733112772613422E-4</v>
      </c>
      <c r="W23" s="148">
        <v>0.5</v>
      </c>
      <c r="X23" s="167">
        <v>1.0019333734102345</v>
      </c>
      <c r="Y23" s="162">
        <v>244.13666038522976</v>
      </c>
    </row>
    <row r="24" spans="11:25" x14ac:dyDescent="0.25">
      <c r="M24" s="180">
        <v>2</v>
      </c>
      <c r="N24" s="151">
        <v>43915.625</v>
      </c>
      <c r="O24" s="152">
        <v>43915.625</v>
      </c>
      <c r="P24" s="152">
        <v>44098.25</v>
      </c>
      <c r="Q24" s="152">
        <v>44098.25</v>
      </c>
      <c r="R24" s="153">
        <v>1</v>
      </c>
      <c r="S24" s="154">
        <v>1000000</v>
      </c>
      <c r="T24" s="177">
        <v>1.0873311277261343E-3</v>
      </c>
      <c r="U24" s="153">
        <v>0</v>
      </c>
      <c r="V24" s="155">
        <v>1.0873311277261343E-3</v>
      </c>
      <c r="W24" s="153">
        <v>0.5</v>
      </c>
      <c r="X24" s="168">
        <v>1.0041318001175765</v>
      </c>
      <c r="Y24" s="163">
        <v>545.91188130375895</v>
      </c>
    </row>
    <row r="25" spans="11:25" x14ac:dyDescent="0.25">
      <c r="M25" s="180">
        <v>3</v>
      </c>
      <c r="N25" s="151">
        <v>44098.25</v>
      </c>
      <c r="O25" s="152">
        <v>44098.25</v>
      </c>
      <c r="P25" s="152">
        <v>44280.875</v>
      </c>
      <c r="Q25" s="152">
        <v>44280.875</v>
      </c>
      <c r="R25" s="153">
        <v>1.5</v>
      </c>
      <c r="S25" s="154">
        <v>1000000</v>
      </c>
      <c r="T25" s="177">
        <v>1.8873311277261347E-3</v>
      </c>
      <c r="U25" s="153">
        <v>0</v>
      </c>
      <c r="V25" s="155">
        <v>1.8873311277261347E-3</v>
      </c>
      <c r="W25" s="153">
        <v>0.5</v>
      </c>
      <c r="X25" s="168">
        <v>1.0054944917093458</v>
      </c>
      <c r="Y25" s="163">
        <v>948.85052648010799</v>
      </c>
    </row>
    <row r="26" spans="11:25" x14ac:dyDescent="0.25">
      <c r="M26" s="180">
        <v>4</v>
      </c>
      <c r="N26" s="151">
        <v>44280.875</v>
      </c>
      <c r="O26" s="152">
        <v>44280.875</v>
      </c>
      <c r="P26" s="152">
        <v>44463.5</v>
      </c>
      <c r="Q26" s="152">
        <v>44463.5</v>
      </c>
      <c r="R26" s="153">
        <v>2</v>
      </c>
      <c r="S26" s="154">
        <v>1000000</v>
      </c>
      <c r="T26" s="177">
        <v>2.487331127726135E-3</v>
      </c>
      <c r="U26" s="153">
        <v>0</v>
      </c>
      <c r="V26" s="155">
        <v>2.487331127726135E-3</v>
      </c>
      <c r="W26" s="153">
        <v>0.5</v>
      </c>
      <c r="X26" s="168">
        <v>1.0069279978978394</v>
      </c>
      <c r="Y26" s="163">
        <v>1252.2816762751261</v>
      </c>
    </row>
    <row r="27" spans="11:25" x14ac:dyDescent="0.25">
      <c r="M27" s="180">
        <v>5</v>
      </c>
      <c r="N27" s="151">
        <v>44463.5</v>
      </c>
      <c r="O27" s="152">
        <v>44463.5</v>
      </c>
      <c r="P27" s="152">
        <v>44646.125</v>
      </c>
      <c r="Q27" s="152">
        <v>44646.125</v>
      </c>
      <c r="R27" s="153">
        <v>2.5</v>
      </c>
      <c r="S27" s="154">
        <v>1000000</v>
      </c>
      <c r="T27" s="177">
        <v>3.2873311277261353E-3</v>
      </c>
      <c r="U27" s="153">
        <v>0</v>
      </c>
      <c r="V27" s="155">
        <v>3.2873311277261353E-3</v>
      </c>
      <c r="W27" s="153">
        <v>0.5</v>
      </c>
      <c r="X27" s="168">
        <v>1.0079216222875187</v>
      </c>
      <c r="Y27" s="163">
        <v>1656.6860616269923</v>
      </c>
    </row>
    <row r="28" spans="11:25" x14ac:dyDescent="0.25">
      <c r="M28" s="180">
        <v>6</v>
      </c>
      <c r="N28" s="151">
        <v>44646.125</v>
      </c>
      <c r="O28" s="152">
        <v>44646.125</v>
      </c>
      <c r="P28" s="152">
        <v>44828.75</v>
      </c>
      <c r="Q28" s="152">
        <v>44828.75</v>
      </c>
      <c r="R28" s="153">
        <v>3</v>
      </c>
      <c r="S28" s="154">
        <v>1000000</v>
      </c>
      <c r="T28" s="177">
        <v>4.0873311277261357E-3</v>
      </c>
      <c r="U28" s="153">
        <v>0</v>
      </c>
      <c r="V28" s="155">
        <v>4.0873311277261357E-3</v>
      </c>
      <c r="W28" s="153">
        <v>0.5</v>
      </c>
      <c r="X28" s="168">
        <v>1.0083773610910693</v>
      </c>
      <c r="Y28" s="163">
        <v>2060.7860882409327</v>
      </c>
    </row>
    <row r="29" spans="11:25" x14ac:dyDescent="0.25">
      <c r="K29" s="5"/>
      <c r="L29" s="5"/>
      <c r="M29" s="180">
        <v>7</v>
      </c>
      <c r="N29" s="151">
        <v>44828.75</v>
      </c>
      <c r="O29" s="152">
        <v>44828.75</v>
      </c>
      <c r="P29" s="152">
        <v>45011.375</v>
      </c>
      <c r="Q29" s="152">
        <v>45011.375</v>
      </c>
      <c r="R29" s="153">
        <v>3.5</v>
      </c>
      <c r="S29" s="154">
        <v>1000000</v>
      </c>
      <c r="T29" s="177">
        <v>4.6873311277261347E-3</v>
      </c>
      <c r="U29" s="153">
        <v>0</v>
      </c>
      <c r="V29" s="155">
        <v>4.6873311277261347E-3</v>
      </c>
      <c r="W29" s="153">
        <v>0.5</v>
      </c>
      <c r="X29" s="168">
        <v>1.0085983995297045</v>
      </c>
      <c r="Y29" s="163">
        <v>2363.8173367451723</v>
      </c>
    </row>
    <row r="30" spans="11:25" x14ac:dyDescent="0.25">
      <c r="K30" s="5"/>
      <c r="L30" s="5"/>
      <c r="M30" s="180">
        <v>8</v>
      </c>
      <c r="N30" s="151">
        <v>45011.375</v>
      </c>
      <c r="O30" s="152">
        <v>45011.375</v>
      </c>
      <c r="P30" s="152">
        <v>45194</v>
      </c>
      <c r="Q30" s="152">
        <v>45194</v>
      </c>
      <c r="R30" s="153">
        <v>4</v>
      </c>
      <c r="S30" s="154">
        <v>1000000</v>
      </c>
      <c r="T30" s="177">
        <v>5.4873311277261333E-3</v>
      </c>
      <c r="U30" s="153">
        <v>0</v>
      </c>
      <c r="V30" s="155">
        <v>5.4873311277261333E-3</v>
      </c>
      <c r="W30" s="153">
        <v>0.5</v>
      </c>
      <c r="X30" s="168">
        <v>1.0083773610910693</v>
      </c>
      <c r="Y30" s="163">
        <v>2766.6502410046801</v>
      </c>
    </row>
    <row r="31" spans="11:25" x14ac:dyDescent="0.25">
      <c r="K31" s="5"/>
      <c r="L31" s="5"/>
      <c r="M31" s="180">
        <v>9</v>
      </c>
      <c r="N31" s="151">
        <v>45194</v>
      </c>
      <c r="O31" s="152">
        <v>45194</v>
      </c>
      <c r="P31" s="152">
        <v>45376.625</v>
      </c>
      <c r="Q31" s="152">
        <v>45376.625</v>
      </c>
      <c r="R31" s="153">
        <v>4.5</v>
      </c>
      <c r="S31" s="154">
        <v>1000000</v>
      </c>
      <c r="T31" s="177">
        <v>6.2873311277261319E-3</v>
      </c>
      <c r="U31" s="153">
        <v>0</v>
      </c>
      <c r="V31" s="155">
        <v>6.2873311277261319E-3</v>
      </c>
      <c r="W31" s="153">
        <v>0.5</v>
      </c>
      <c r="X31" s="168">
        <v>1.0079216222875187</v>
      </c>
      <c r="Y31" s="163">
        <v>3168.5684950582686</v>
      </c>
    </row>
    <row r="32" spans="11:25" x14ac:dyDescent="0.25">
      <c r="K32" s="5"/>
      <c r="L32" s="5"/>
      <c r="M32" s="180">
        <v>10</v>
      </c>
      <c r="N32" s="156">
        <v>45376.625</v>
      </c>
      <c r="O32" s="157">
        <v>45376.625</v>
      </c>
      <c r="P32" s="157">
        <v>45559.25</v>
      </c>
      <c r="Q32" s="157">
        <v>45559.25</v>
      </c>
      <c r="R32" s="158">
        <v>5</v>
      </c>
      <c r="S32" s="159">
        <v>1000000</v>
      </c>
      <c r="T32" s="178">
        <v>6.8873311277261309E-3</v>
      </c>
      <c r="U32" s="158">
        <v>0</v>
      </c>
      <c r="V32" s="160">
        <v>6.8873311277261309E-3</v>
      </c>
      <c r="W32" s="158">
        <v>0.5</v>
      </c>
      <c r="X32" s="169">
        <v>1.0069279978978394</v>
      </c>
      <c r="Y32" s="164">
        <v>3467.5232716503706</v>
      </c>
    </row>
    <row r="33" spans="11:20" x14ac:dyDescent="0.25">
      <c r="K33" s="5"/>
      <c r="L33" s="5"/>
    </row>
    <row r="34" spans="11:20" x14ac:dyDescent="0.25">
      <c r="K34" s="5"/>
      <c r="L34" s="5"/>
    </row>
    <row r="35" spans="11:20" x14ac:dyDescent="0.25">
      <c r="K35" s="5"/>
      <c r="L35" s="5"/>
      <c r="N35" s="13" t="s">
        <v>190</v>
      </c>
      <c r="R35" s="13" t="s">
        <v>188</v>
      </c>
    </row>
    <row r="36" spans="11:20" x14ac:dyDescent="0.25">
      <c r="K36" s="5"/>
      <c r="L36" s="5"/>
      <c r="N36" t="s">
        <v>192</v>
      </c>
      <c r="P36" s="126">
        <f>Y21</f>
        <v>18475.21223877064</v>
      </c>
      <c r="R36" s="33" t="s">
        <v>186</v>
      </c>
      <c r="S36" s="170"/>
      <c r="T36" s="171">
        <v>3.6695446037942926E-3</v>
      </c>
    </row>
    <row r="37" spans="11:20" x14ac:dyDescent="0.25">
      <c r="K37" s="5"/>
      <c r="L37" s="5"/>
      <c r="N37" t="s">
        <v>193</v>
      </c>
      <c r="P37" s="126">
        <f>SUMPRODUCT(R14:R18,T14:T18,U14:U18)</f>
        <v>5034742.5180953937</v>
      </c>
      <c r="R37" t="s">
        <v>191</v>
      </c>
      <c r="T37" s="126">
        <f>V12</f>
        <v>18475.21223877064</v>
      </c>
    </row>
    <row r="38" spans="11:20" x14ac:dyDescent="0.25">
      <c r="K38" s="5"/>
      <c r="L38" s="5"/>
      <c r="N38" t="s">
        <v>185</v>
      </c>
      <c r="P38" s="171">
        <f ca="1">P36/P37</f>
        <v>3.6695446037942926E-3</v>
      </c>
      <c r="R38" t="s">
        <v>192</v>
      </c>
      <c r="T38" s="126">
        <f>Y21</f>
        <v>18475.21223877064</v>
      </c>
    </row>
    <row r="39" spans="11:20" x14ac:dyDescent="0.25">
      <c r="K39" s="5"/>
      <c r="L39" s="5"/>
      <c r="R39" t="s">
        <v>187</v>
      </c>
      <c r="T39" s="126">
        <f>T37-T38</f>
        <v>0</v>
      </c>
    </row>
    <row r="40" spans="11:20" x14ac:dyDescent="0.25">
      <c r="K40" s="5"/>
      <c r="L40" s="5"/>
    </row>
    <row r="41" spans="11:20" x14ac:dyDescent="0.25">
      <c r="K41" s="5"/>
      <c r="L41" s="5"/>
      <c r="M41" s="5"/>
    </row>
    <row r="42" spans="11:20" x14ac:dyDescent="0.25">
      <c r="K42" s="5"/>
      <c r="L42" s="5"/>
      <c r="M42" s="5"/>
    </row>
    <row r="43" spans="11:20" x14ac:dyDescent="0.25">
      <c r="K43" s="5"/>
      <c r="L43" s="5"/>
      <c r="M43" s="5"/>
    </row>
    <row r="46" spans="11:20" x14ac:dyDescent="0.25">
      <c r="N46" s="172"/>
      <c r="P46" s="17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42"/>
  <sheetViews>
    <sheetView showGridLines="0" workbookViewId="0"/>
  </sheetViews>
  <sheetFormatPr defaultRowHeight="15" outlineLevelRow="1" x14ac:dyDescent="0.25"/>
  <cols>
    <col min="4" max="4" width="4.7109375" customWidth="1"/>
    <col min="10" max="10" width="4.7109375" customWidth="1"/>
    <col min="12" max="13" width="9.85546875" bestFit="1" customWidth="1"/>
    <col min="16" max="16" width="4.7109375" customWidth="1"/>
    <col min="22" max="22" width="4.7109375" customWidth="1"/>
    <col min="28" max="28" width="4.7109375" customWidth="1"/>
    <col min="34" max="34" width="4.7109375" customWidth="1"/>
  </cols>
  <sheetData>
    <row r="2" spans="1:30" ht="23.25" x14ac:dyDescent="0.35">
      <c r="B2" s="279" t="s">
        <v>268</v>
      </c>
    </row>
    <row r="3" spans="1:30" outlineLevel="1" x14ac:dyDescent="0.25">
      <c r="A3" s="179"/>
    </row>
    <row r="4" spans="1:30" ht="23.25" outlineLevel="1" x14ac:dyDescent="0.35">
      <c r="B4" s="272" t="s">
        <v>281</v>
      </c>
      <c r="N4" s="272" t="s">
        <v>274</v>
      </c>
      <c r="T4" s="272" t="s">
        <v>275</v>
      </c>
      <c r="Z4" s="272"/>
    </row>
    <row r="5" spans="1:30" outlineLevel="1" x14ac:dyDescent="0.25">
      <c r="B5" s="261" t="s">
        <v>263</v>
      </c>
      <c r="C5" s="262"/>
      <c r="D5" s="262"/>
      <c r="E5" s="262"/>
      <c r="F5" s="262"/>
      <c r="G5" s="266">
        <f ca="1">$R$8</f>
        <v>30</v>
      </c>
    </row>
    <row r="6" spans="1:30" outlineLevel="1" x14ac:dyDescent="0.25">
      <c r="B6" s="263" t="s">
        <v>264</v>
      </c>
      <c r="C6" s="5"/>
      <c r="D6" s="5"/>
      <c r="E6" s="5"/>
      <c r="F6" s="5"/>
      <c r="G6" s="267">
        <f ca="1">$R$15</f>
        <v>23</v>
      </c>
      <c r="N6" s="13" t="s">
        <v>279</v>
      </c>
      <c r="T6" s="13" t="s">
        <v>276</v>
      </c>
      <c r="Z6" s="13" t="s">
        <v>278</v>
      </c>
    </row>
    <row r="7" spans="1:30" outlineLevel="1" x14ac:dyDescent="0.25">
      <c r="B7" s="263" t="s">
        <v>265</v>
      </c>
      <c r="C7" s="5"/>
      <c r="D7" s="5"/>
      <c r="E7" s="5"/>
      <c r="F7" s="5"/>
      <c r="G7" s="267">
        <f ca="1">$X$8</f>
        <v>18</v>
      </c>
      <c r="N7" s="33" t="s">
        <v>271</v>
      </c>
      <c r="T7" s="33" t="s">
        <v>273</v>
      </c>
      <c r="Z7" s="33" t="s">
        <v>273</v>
      </c>
    </row>
    <row r="8" spans="1:30" outlineLevel="1" x14ac:dyDescent="0.25">
      <c r="B8" s="263" t="s">
        <v>266</v>
      </c>
      <c r="C8" s="5"/>
      <c r="D8" s="5"/>
      <c r="E8" s="5"/>
      <c r="F8" s="5"/>
      <c r="G8" s="267">
        <f ca="1">$X$15</f>
        <v>18</v>
      </c>
      <c r="N8" s="261" t="s">
        <v>257</v>
      </c>
      <c r="O8" s="262"/>
      <c r="P8" s="262"/>
      <c r="Q8" s="262"/>
      <c r="R8" s="266">
        <f ca="1">COUNTA(B25:B40,E25:E38)</f>
        <v>30</v>
      </c>
      <c r="T8" s="261" t="s">
        <v>257</v>
      </c>
      <c r="U8" s="262"/>
      <c r="V8" s="262"/>
      <c r="W8" s="262"/>
      <c r="X8" s="266">
        <f ca="1">COUNTA(T25,W25:W41)</f>
        <v>18</v>
      </c>
      <c r="Z8" s="261" t="s">
        <v>257</v>
      </c>
      <c r="AA8" s="262"/>
      <c r="AB8" s="262"/>
      <c r="AC8" s="262"/>
      <c r="AD8" s="266">
        <f ca="1">COUNTA(AF25,AI25:AI38)</f>
        <v>15</v>
      </c>
    </row>
    <row r="9" spans="1:30" outlineLevel="1" x14ac:dyDescent="0.25">
      <c r="B9" s="269" t="s">
        <v>267</v>
      </c>
      <c r="C9" s="270"/>
      <c r="D9" s="270"/>
      <c r="E9" s="270"/>
      <c r="F9" s="270"/>
      <c r="G9" s="271">
        <f ca="1">$AD$8</f>
        <v>15</v>
      </c>
      <c r="N9" s="263" t="s">
        <v>259</v>
      </c>
      <c r="O9" s="5"/>
      <c r="P9" s="5"/>
      <c r="Q9" s="5"/>
      <c r="R9" s="267">
        <v>50</v>
      </c>
      <c r="T9" s="263" t="s">
        <v>259</v>
      </c>
      <c r="U9" s="5"/>
      <c r="V9" s="5"/>
      <c r="W9" s="5"/>
      <c r="X9" s="267">
        <v>50</v>
      </c>
      <c r="Z9" s="263" t="s">
        <v>259</v>
      </c>
      <c r="AA9" s="5"/>
      <c r="AB9" s="5"/>
      <c r="AC9" s="5"/>
      <c r="AD9" s="267">
        <v>50</v>
      </c>
    </row>
    <row r="10" spans="1:30" outlineLevel="1" x14ac:dyDescent="0.25">
      <c r="B10" s="263" t="s">
        <v>262</v>
      </c>
      <c r="C10" s="5"/>
      <c r="D10" s="5"/>
      <c r="E10" s="5"/>
      <c r="F10" s="5"/>
      <c r="G10" s="267">
        <f ca="1">$R$8+$R$15+$X$8+$X$15+$AD$8</f>
        <v>104</v>
      </c>
      <c r="N10" s="263" t="s">
        <v>260</v>
      </c>
      <c r="O10" s="5"/>
      <c r="P10" s="5"/>
      <c r="Q10" s="5"/>
      <c r="R10" s="267">
        <v>252</v>
      </c>
      <c r="T10" s="263" t="s">
        <v>260</v>
      </c>
      <c r="U10" s="5"/>
      <c r="V10" s="5"/>
      <c r="W10" s="5"/>
      <c r="X10" s="267">
        <v>2</v>
      </c>
      <c r="Z10" s="263" t="s">
        <v>260</v>
      </c>
      <c r="AA10" s="5"/>
      <c r="AB10" s="5"/>
      <c r="AC10" s="5"/>
      <c r="AD10" s="267">
        <v>1</v>
      </c>
    </row>
    <row r="11" spans="1:30" outlineLevel="1" x14ac:dyDescent="0.25">
      <c r="B11" s="263" t="s">
        <v>258</v>
      </c>
      <c r="C11" s="5"/>
      <c r="D11" s="5"/>
      <c r="E11" s="5"/>
      <c r="F11" s="5"/>
      <c r="G11" s="267">
        <f ca="1">$R$11+$R$18+$X$11+$X$18+$AD$11</f>
        <v>13550</v>
      </c>
      <c r="N11" s="264" t="s">
        <v>258</v>
      </c>
      <c r="O11" s="265"/>
      <c r="P11" s="265"/>
      <c r="Q11" s="265"/>
      <c r="R11" s="268">
        <f ca="1">R9*R10</f>
        <v>12600</v>
      </c>
      <c r="T11" s="264" t="s">
        <v>258</v>
      </c>
      <c r="U11" s="265"/>
      <c r="V11" s="265"/>
      <c r="W11" s="265"/>
      <c r="X11" s="268">
        <f ca="1">X9*X10</f>
        <v>100</v>
      </c>
      <c r="Z11" s="264" t="s">
        <v>258</v>
      </c>
      <c r="AA11" s="265"/>
      <c r="AB11" s="265"/>
      <c r="AC11" s="265"/>
      <c r="AD11" s="268">
        <f ca="1">AD9*AD10</f>
        <v>50</v>
      </c>
    </row>
    <row r="12" spans="1:30" outlineLevel="1" x14ac:dyDescent="0.25">
      <c r="B12" s="264" t="s">
        <v>261</v>
      </c>
      <c r="C12" s="265"/>
      <c r="D12" s="265"/>
      <c r="E12" s="265"/>
      <c r="F12" s="265"/>
      <c r="G12" s="268">
        <f ca="1">$R$11+$R$18+$X$11+$X$18+$AD$11</f>
        <v>13550</v>
      </c>
    </row>
    <row r="13" spans="1:30" outlineLevel="1" x14ac:dyDescent="0.25">
      <c r="N13" s="13" t="s">
        <v>280</v>
      </c>
      <c r="T13" s="13" t="s">
        <v>277</v>
      </c>
    </row>
    <row r="14" spans="1:30" outlineLevel="1" x14ac:dyDescent="0.25">
      <c r="N14" s="33" t="s">
        <v>272</v>
      </c>
      <c r="T14" s="33" t="s">
        <v>273</v>
      </c>
    </row>
    <row r="15" spans="1:30" outlineLevel="1" x14ac:dyDescent="0.25">
      <c r="N15" s="261" t="s">
        <v>257</v>
      </c>
      <c r="O15" s="262"/>
      <c r="P15" s="262"/>
      <c r="Q15" s="262"/>
      <c r="R15" s="266">
        <f ca="1">COUNTA(H25,K25:K32,Q25:Q38)</f>
        <v>23</v>
      </c>
      <c r="T15" s="261" t="s">
        <v>257</v>
      </c>
      <c r="U15" s="262"/>
      <c r="V15" s="262"/>
      <c r="W15" s="262"/>
      <c r="X15" s="266">
        <f ca="1">COUNTA(Z25,AC25:AC41)</f>
        <v>18</v>
      </c>
    </row>
    <row r="16" spans="1:30" outlineLevel="1" x14ac:dyDescent="0.25">
      <c r="N16" s="263" t="s">
        <v>259</v>
      </c>
      <c r="O16" s="5"/>
      <c r="P16" s="5"/>
      <c r="Q16" s="5"/>
      <c r="R16" s="267">
        <v>50</v>
      </c>
      <c r="T16" s="263" t="s">
        <v>259</v>
      </c>
      <c r="U16" s="5"/>
      <c r="V16" s="5"/>
      <c r="W16" s="5"/>
      <c r="X16" s="267">
        <v>50</v>
      </c>
    </row>
    <row r="17" spans="1:36" outlineLevel="1" x14ac:dyDescent="0.25">
      <c r="K17" s="5"/>
      <c r="L17" s="5"/>
      <c r="M17" s="5"/>
      <c r="N17" s="263" t="s">
        <v>260</v>
      </c>
      <c r="O17" s="5"/>
      <c r="P17" s="5"/>
      <c r="Q17" s="5"/>
      <c r="R17" s="267">
        <v>4</v>
      </c>
      <c r="T17" s="263" t="s">
        <v>260</v>
      </c>
      <c r="U17" s="5"/>
      <c r="V17" s="5"/>
      <c r="W17" s="5"/>
      <c r="X17" s="267">
        <v>12</v>
      </c>
    </row>
    <row r="18" spans="1:36" outlineLevel="1" x14ac:dyDescent="0.25">
      <c r="K18" s="5"/>
      <c r="L18" s="5"/>
      <c r="M18" s="5"/>
      <c r="N18" s="264" t="s">
        <v>258</v>
      </c>
      <c r="O18" s="265"/>
      <c r="P18" s="265"/>
      <c r="Q18" s="265"/>
      <c r="R18" s="268">
        <f ca="1">R16*R17</f>
        <v>200</v>
      </c>
      <c r="T18" s="264" t="s">
        <v>258</v>
      </c>
      <c r="U18" s="265"/>
      <c r="V18" s="265"/>
      <c r="W18" s="265"/>
      <c r="X18" s="268">
        <f ca="1">X16*X17</f>
        <v>600</v>
      </c>
    </row>
    <row r="19" spans="1:36" outlineLevel="1" x14ac:dyDescent="0.25"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1:36" x14ac:dyDescent="0.25">
      <c r="A20" s="38" t="s">
        <v>270</v>
      </c>
    </row>
    <row r="21" spans="1:36" x14ac:dyDescent="0.25">
      <c r="A21" s="38"/>
    </row>
    <row r="22" spans="1:36" s="273" customFormat="1" ht="15.75" thickBot="1" x14ac:dyDescent="0.3">
      <c r="B22" s="273" t="s">
        <v>232</v>
      </c>
      <c r="H22" s="273" t="s">
        <v>248</v>
      </c>
      <c r="T22" s="273" t="s">
        <v>251</v>
      </c>
      <c r="Z22" s="273" t="s">
        <v>254</v>
      </c>
      <c r="AF22" s="273" t="s">
        <v>255</v>
      </c>
    </row>
    <row r="23" spans="1:36" s="13" customFormat="1" ht="15.75" thickTop="1" x14ac:dyDescent="0.25">
      <c r="B23" s="274" t="s">
        <v>269</v>
      </c>
      <c r="C23" s="275"/>
      <c r="D23" s="275"/>
      <c r="E23" s="275" t="s">
        <v>250</v>
      </c>
      <c r="F23" s="276"/>
      <c r="H23" s="274" t="s">
        <v>256</v>
      </c>
      <c r="I23" s="275"/>
      <c r="J23" s="275"/>
      <c r="K23" s="275" t="s">
        <v>233</v>
      </c>
      <c r="L23" s="275"/>
      <c r="M23" s="275"/>
      <c r="N23" s="275"/>
      <c r="O23" s="275"/>
      <c r="P23" s="275"/>
      <c r="Q23" s="275" t="s">
        <v>234</v>
      </c>
      <c r="R23" s="276"/>
      <c r="T23" s="274" t="s">
        <v>256</v>
      </c>
      <c r="U23" s="275"/>
      <c r="V23" s="275"/>
      <c r="W23" s="275" t="s">
        <v>253</v>
      </c>
      <c r="X23" s="276"/>
      <c r="Z23" s="274" t="s">
        <v>256</v>
      </c>
      <c r="AA23" s="275"/>
      <c r="AB23" s="275"/>
      <c r="AC23" s="275" t="s">
        <v>253</v>
      </c>
      <c r="AD23" s="276"/>
      <c r="AF23" s="274" t="s">
        <v>256</v>
      </c>
      <c r="AG23" s="275"/>
      <c r="AH23" s="275"/>
      <c r="AI23" s="275" t="s">
        <v>253</v>
      </c>
      <c r="AJ23" s="276"/>
    </row>
    <row r="24" spans="1:36" x14ac:dyDescent="0.25">
      <c r="B24" s="277" t="s">
        <v>137</v>
      </c>
      <c r="C24" s="67" t="s">
        <v>1</v>
      </c>
      <c r="D24" s="67"/>
      <c r="E24" s="67" t="s">
        <v>137</v>
      </c>
      <c r="F24" s="278" t="s">
        <v>1</v>
      </c>
      <c r="G24" s="2"/>
      <c r="H24" s="277" t="s">
        <v>137</v>
      </c>
      <c r="I24" s="67" t="s">
        <v>1</v>
      </c>
      <c r="J24" s="67"/>
      <c r="K24" s="67" t="s">
        <v>249</v>
      </c>
      <c r="L24" s="67" t="s">
        <v>16</v>
      </c>
      <c r="M24" s="67" t="s">
        <v>17</v>
      </c>
      <c r="N24" s="67" t="s">
        <v>1</v>
      </c>
      <c r="O24" s="67" t="s">
        <v>235</v>
      </c>
      <c r="P24" s="67"/>
      <c r="Q24" s="67" t="s">
        <v>137</v>
      </c>
      <c r="R24" s="278" t="s">
        <v>1</v>
      </c>
      <c r="S24" s="2"/>
      <c r="T24" s="277" t="s">
        <v>137</v>
      </c>
      <c r="U24" s="67" t="s">
        <v>1</v>
      </c>
      <c r="V24" s="67"/>
      <c r="W24" s="67" t="s">
        <v>0</v>
      </c>
      <c r="X24" s="278" t="s">
        <v>1</v>
      </c>
      <c r="Y24" s="2"/>
      <c r="Z24" s="277" t="s">
        <v>137</v>
      </c>
      <c r="AA24" s="67" t="s">
        <v>1</v>
      </c>
      <c r="AB24" s="67"/>
      <c r="AC24" s="67" t="s">
        <v>0</v>
      </c>
      <c r="AD24" s="278" t="s">
        <v>1</v>
      </c>
      <c r="AE24" s="2"/>
      <c r="AF24" s="277" t="s">
        <v>137</v>
      </c>
      <c r="AG24" s="67" t="s">
        <v>1</v>
      </c>
      <c r="AH24" s="67"/>
      <c r="AI24" s="67" t="s">
        <v>0</v>
      </c>
      <c r="AJ24" s="278" t="s">
        <v>1</v>
      </c>
    </row>
    <row r="25" spans="1:36" x14ac:dyDescent="0.25">
      <c r="B25" s="378" t="s">
        <v>223</v>
      </c>
      <c r="C25" s="379">
        <v>1.9E-2</v>
      </c>
      <c r="D25" s="72"/>
      <c r="E25" s="72" t="s">
        <v>2</v>
      </c>
      <c r="F25" s="380">
        <v>2.7812499999999999E-3</v>
      </c>
      <c r="G25" s="2"/>
      <c r="H25" s="378" t="s">
        <v>10</v>
      </c>
      <c r="I25" s="379">
        <v>1.9658799999999997E-2</v>
      </c>
      <c r="J25" s="72"/>
      <c r="K25" s="72" t="s">
        <v>240</v>
      </c>
      <c r="L25" s="385">
        <v>43817</v>
      </c>
      <c r="M25" s="385">
        <v>43908</v>
      </c>
      <c r="N25" s="386">
        <v>98.1</v>
      </c>
      <c r="O25" s="379">
        <v>1.4500000000000001E-2</v>
      </c>
      <c r="P25" s="72"/>
      <c r="Q25" s="72" t="s">
        <v>117</v>
      </c>
      <c r="R25" s="380">
        <v>1.5942999999999999E-2</v>
      </c>
      <c r="S25" s="2"/>
      <c r="T25" s="378" t="s">
        <v>138</v>
      </c>
      <c r="U25" s="379">
        <v>1.9744999999999999E-2</v>
      </c>
      <c r="V25" s="72"/>
      <c r="W25" s="72" t="s">
        <v>2</v>
      </c>
      <c r="X25" s="387">
        <v>8</v>
      </c>
      <c r="Y25" s="2"/>
      <c r="Z25" s="378" t="s">
        <v>227</v>
      </c>
      <c r="AA25" s="379">
        <v>1.8463799999999999E-2</v>
      </c>
      <c r="AB25" s="72"/>
      <c r="AC25" s="72" t="s">
        <v>2</v>
      </c>
      <c r="AD25" s="387">
        <v>14.875000000000002</v>
      </c>
      <c r="AE25" s="2"/>
      <c r="AF25" s="378" t="s">
        <v>236</v>
      </c>
      <c r="AG25" s="379">
        <v>1.9931299999999999E-2</v>
      </c>
      <c r="AH25" s="72"/>
      <c r="AI25" s="72" t="s">
        <v>2</v>
      </c>
      <c r="AJ25" s="387">
        <v>25.125</v>
      </c>
    </row>
    <row r="26" spans="1:36" x14ac:dyDescent="0.25">
      <c r="B26" s="378" t="s">
        <v>224</v>
      </c>
      <c r="C26" s="379">
        <v>1.831E-2</v>
      </c>
      <c r="D26" s="72"/>
      <c r="E26" s="72" t="s">
        <v>3</v>
      </c>
      <c r="F26" s="380">
        <v>2.575E-3</v>
      </c>
      <c r="G26" s="2"/>
      <c r="H26" s="378"/>
      <c r="I26" s="72"/>
      <c r="J26" s="72"/>
      <c r="K26" s="72" t="s">
        <v>241</v>
      </c>
      <c r="L26" s="385">
        <v>43908</v>
      </c>
      <c r="M26" s="385">
        <v>43999</v>
      </c>
      <c r="N26" s="386">
        <v>98.325000000000003</v>
      </c>
      <c r="O26" s="379">
        <v>1.4500000000000001E-2</v>
      </c>
      <c r="P26" s="72"/>
      <c r="Q26" s="72" t="s">
        <v>27</v>
      </c>
      <c r="R26" s="380">
        <v>1.5751000000000001E-2</v>
      </c>
      <c r="S26" s="2"/>
      <c r="T26" s="378"/>
      <c r="U26" s="72"/>
      <c r="V26" s="72"/>
      <c r="W26" s="72" t="s">
        <v>3</v>
      </c>
      <c r="X26" s="387">
        <v>7.125</v>
      </c>
      <c r="Y26" s="2"/>
      <c r="Z26" s="378"/>
      <c r="AA26" s="72"/>
      <c r="AB26" s="72"/>
      <c r="AC26" s="72" t="s">
        <v>3</v>
      </c>
      <c r="AD26" s="387">
        <v>12.875</v>
      </c>
      <c r="AE26" s="2"/>
      <c r="AF26" s="378"/>
      <c r="AG26" s="72"/>
      <c r="AH26" s="72"/>
      <c r="AI26" s="72" t="s">
        <v>3</v>
      </c>
      <c r="AJ26" s="387">
        <v>22.75</v>
      </c>
    </row>
    <row r="27" spans="1:36" x14ac:dyDescent="0.25">
      <c r="B27" s="378" t="s">
        <v>225</v>
      </c>
      <c r="C27" s="379">
        <v>1.7739999999999999E-2</v>
      </c>
      <c r="D27" s="72"/>
      <c r="E27" s="72" t="s">
        <v>117</v>
      </c>
      <c r="F27" s="380">
        <v>2.4499999999999999E-3</v>
      </c>
      <c r="G27" s="2"/>
      <c r="H27" s="378"/>
      <c r="I27" s="72"/>
      <c r="J27" s="72"/>
      <c r="K27" s="72" t="s">
        <v>242</v>
      </c>
      <c r="L27" s="385">
        <v>43999</v>
      </c>
      <c r="M27" s="385">
        <v>44090</v>
      </c>
      <c r="N27" s="386">
        <v>98.41</v>
      </c>
      <c r="O27" s="379">
        <v>1.4500000000000001E-2</v>
      </c>
      <c r="P27" s="72"/>
      <c r="Q27" s="72" t="s">
        <v>4</v>
      </c>
      <c r="R27" s="380">
        <v>1.5751000000000001E-2</v>
      </c>
      <c r="S27" s="2"/>
      <c r="T27" s="378"/>
      <c r="U27" s="72"/>
      <c r="V27" s="72"/>
      <c r="W27" s="72" t="s">
        <v>117</v>
      </c>
      <c r="X27" s="387">
        <v>7</v>
      </c>
      <c r="Y27" s="2"/>
      <c r="Z27" s="378"/>
      <c r="AA27" s="72"/>
      <c r="AB27" s="72"/>
      <c r="AC27" s="72" t="s">
        <v>117</v>
      </c>
      <c r="AD27" s="387">
        <v>11.875</v>
      </c>
      <c r="AE27" s="2"/>
      <c r="AF27" s="378"/>
      <c r="AG27" s="72"/>
      <c r="AH27" s="72"/>
      <c r="AI27" s="72" t="s">
        <v>117</v>
      </c>
      <c r="AJ27" s="387">
        <v>22.25</v>
      </c>
    </row>
    <row r="28" spans="1:36" x14ac:dyDescent="0.25">
      <c r="B28" s="378" t="s">
        <v>226</v>
      </c>
      <c r="C28" s="379">
        <v>1.7270000000000001E-2</v>
      </c>
      <c r="D28" s="72"/>
      <c r="E28" s="72" t="s">
        <v>27</v>
      </c>
      <c r="F28" s="380">
        <v>2.4250000000000001E-3</v>
      </c>
      <c r="G28" s="2"/>
      <c r="H28" s="378"/>
      <c r="I28" s="72"/>
      <c r="J28" s="72"/>
      <c r="K28" s="72" t="s">
        <v>243</v>
      </c>
      <c r="L28" s="385">
        <v>44090</v>
      </c>
      <c r="M28" s="385">
        <v>44181</v>
      </c>
      <c r="N28" s="386">
        <v>98.46</v>
      </c>
      <c r="O28" s="379">
        <v>1.4500000000000001E-2</v>
      </c>
      <c r="P28" s="72"/>
      <c r="Q28" s="72" t="s">
        <v>28</v>
      </c>
      <c r="R28" s="380">
        <v>1.6080000000000001E-2</v>
      </c>
      <c r="S28" s="2"/>
      <c r="T28" s="378"/>
      <c r="U28" s="72"/>
      <c r="V28" s="72"/>
      <c r="W28" s="72" t="s">
        <v>27</v>
      </c>
      <c r="X28" s="387">
        <v>7.2499999999999991</v>
      </c>
      <c r="Y28" s="2"/>
      <c r="Z28" s="378"/>
      <c r="AA28" s="72"/>
      <c r="AB28" s="72"/>
      <c r="AC28" s="72" t="s">
        <v>27</v>
      </c>
      <c r="AD28" s="387">
        <v>11.375</v>
      </c>
      <c r="AE28" s="2"/>
      <c r="AF28" s="378"/>
      <c r="AG28" s="72"/>
      <c r="AH28" s="72"/>
      <c r="AI28" s="72" t="s">
        <v>27</v>
      </c>
      <c r="AJ28" s="387">
        <v>20.875</v>
      </c>
    </row>
    <row r="29" spans="1:36" x14ac:dyDescent="0.25">
      <c r="B29" s="378" t="s">
        <v>227</v>
      </c>
      <c r="C29" s="379">
        <v>1.6957E-2</v>
      </c>
      <c r="D29" s="72"/>
      <c r="E29" s="72" t="s">
        <v>4</v>
      </c>
      <c r="F29" s="380">
        <v>2.3999999999999998E-3</v>
      </c>
      <c r="G29" s="2"/>
      <c r="H29" s="378"/>
      <c r="I29" s="72"/>
      <c r="J29" s="72"/>
      <c r="K29" s="72" t="s">
        <v>244</v>
      </c>
      <c r="L29" s="385">
        <v>44181</v>
      </c>
      <c r="M29" s="385">
        <v>44272</v>
      </c>
      <c r="N29" s="386">
        <v>98.454999999999998</v>
      </c>
      <c r="O29" s="379">
        <v>1.4500000000000001E-2</v>
      </c>
      <c r="P29" s="72"/>
      <c r="Q29" s="72" t="s">
        <v>237</v>
      </c>
      <c r="R29" s="380">
        <v>1.6327999999999999E-2</v>
      </c>
      <c r="S29" s="2"/>
      <c r="T29" s="378"/>
      <c r="U29" s="72"/>
      <c r="V29" s="72"/>
      <c r="W29" s="72" t="s">
        <v>4</v>
      </c>
      <c r="X29" s="387">
        <v>7.6250000000000009</v>
      </c>
      <c r="Y29" s="2"/>
      <c r="Z29" s="378"/>
      <c r="AA29" s="72"/>
      <c r="AB29" s="72"/>
      <c r="AC29" s="72" t="s">
        <v>4</v>
      </c>
      <c r="AD29" s="387">
        <v>11.25</v>
      </c>
      <c r="AE29" s="2"/>
      <c r="AF29" s="378"/>
      <c r="AG29" s="72"/>
      <c r="AH29" s="72"/>
      <c r="AI29" s="72" t="s">
        <v>4</v>
      </c>
      <c r="AJ29" s="387">
        <v>20.875</v>
      </c>
    </row>
    <row r="30" spans="1:36" x14ac:dyDescent="0.25">
      <c r="B30" s="378" t="s">
        <v>228</v>
      </c>
      <c r="C30" s="379">
        <v>1.6601999999999999E-2</v>
      </c>
      <c r="D30" s="72"/>
      <c r="E30" s="72" t="s">
        <v>28</v>
      </c>
      <c r="F30" s="380">
        <v>2.3500000000000001E-3</v>
      </c>
      <c r="G30" s="2"/>
      <c r="H30" s="378"/>
      <c r="I30" s="72"/>
      <c r="J30" s="72"/>
      <c r="K30" s="72" t="s">
        <v>245</v>
      </c>
      <c r="L30" s="385">
        <v>44272</v>
      </c>
      <c r="M30" s="385">
        <v>44363</v>
      </c>
      <c r="N30" s="386">
        <v>98.52</v>
      </c>
      <c r="O30" s="379">
        <v>1.4500000000000001E-2</v>
      </c>
      <c r="P30" s="72"/>
      <c r="Q30" s="72" t="s">
        <v>238</v>
      </c>
      <c r="R30" s="380">
        <v>1.6607E-2</v>
      </c>
      <c r="S30" s="2"/>
      <c r="T30" s="378"/>
      <c r="U30" s="72"/>
      <c r="V30" s="72"/>
      <c r="W30" s="72" t="s">
        <v>252</v>
      </c>
      <c r="X30" s="387">
        <v>7.875</v>
      </c>
      <c r="Y30" s="2"/>
      <c r="Z30" s="378"/>
      <c r="AA30" s="72"/>
      <c r="AB30" s="72"/>
      <c r="AC30" s="72" t="s">
        <v>252</v>
      </c>
      <c r="AD30" s="387">
        <v>11.125</v>
      </c>
      <c r="AE30" s="2"/>
      <c r="AF30" s="378"/>
      <c r="AG30" s="72"/>
      <c r="AH30" s="72"/>
      <c r="AI30" s="72" t="s">
        <v>28</v>
      </c>
      <c r="AJ30" s="387">
        <v>20.125</v>
      </c>
    </row>
    <row r="31" spans="1:36" x14ac:dyDescent="0.25">
      <c r="B31" s="378" t="s">
        <v>10</v>
      </c>
      <c r="C31" s="379">
        <v>1.6277E-2</v>
      </c>
      <c r="D31" s="72"/>
      <c r="E31" s="72" t="s">
        <v>5</v>
      </c>
      <c r="F31" s="380">
        <v>2.3500000000000001E-3</v>
      </c>
      <c r="G31" s="2"/>
      <c r="H31" s="378"/>
      <c r="I31" s="72"/>
      <c r="J31" s="72"/>
      <c r="K31" s="72" t="s">
        <v>246</v>
      </c>
      <c r="L31" s="385">
        <v>44363</v>
      </c>
      <c r="M31" s="385">
        <v>44454</v>
      </c>
      <c r="N31" s="386">
        <v>98.525000000000006</v>
      </c>
      <c r="O31" s="379">
        <v>1.4500000000000001E-2</v>
      </c>
      <c r="P31" s="72"/>
      <c r="Q31" s="72" t="s">
        <v>5</v>
      </c>
      <c r="R31" s="380">
        <v>1.6878000000000001E-2</v>
      </c>
      <c r="S31" s="2"/>
      <c r="T31" s="378"/>
      <c r="U31" s="72"/>
      <c r="V31" s="72"/>
      <c r="W31" s="72" t="s">
        <v>28</v>
      </c>
      <c r="X31" s="387">
        <v>8</v>
      </c>
      <c r="Y31" s="2"/>
      <c r="Z31" s="378"/>
      <c r="AA31" s="72"/>
      <c r="AB31" s="72"/>
      <c r="AC31" s="72" t="s">
        <v>28</v>
      </c>
      <c r="AD31" s="387">
        <v>11</v>
      </c>
      <c r="AE31" s="2"/>
      <c r="AF31" s="378"/>
      <c r="AG31" s="72"/>
      <c r="AH31" s="72"/>
      <c r="AI31" s="72" t="s">
        <v>5</v>
      </c>
      <c r="AJ31" s="387">
        <v>19.750000000000004</v>
      </c>
    </row>
    <row r="32" spans="1:36" x14ac:dyDescent="0.25">
      <c r="B32" s="378" t="s">
        <v>229</v>
      </c>
      <c r="C32" s="379">
        <v>1.5944E-2</v>
      </c>
      <c r="D32" s="72"/>
      <c r="E32" s="72" t="s">
        <v>6</v>
      </c>
      <c r="F32" s="380">
        <v>2.3500000000000001E-3</v>
      </c>
      <c r="G32" s="2"/>
      <c r="H32" s="378"/>
      <c r="I32" s="72"/>
      <c r="J32" s="72"/>
      <c r="K32" s="72" t="s">
        <v>247</v>
      </c>
      <c r="L32" s="385">
        <v>44454</v>
      </c>
      <c r="M32" s="385">
        <v>44545</v>
      </c>
      <c r="N32" s="386">
        <v>98.525000000000006</v>
      </c>
      <c r="O32" s="379">
        <v>1.4500000000000001E-2</v>
      </c>
      <c r="P32" s="72"/>
      <c r="Q32" s="72" t="s">
        <v>6</v>
      </c>
      <c r="R32" s="380">
        <v>1.7369000000000002E-2</v>
      </c>
      <c r="S32" s="2"/>
      <c r="T32" s="378"/>
      <c r="U32" s="72"/>
      <c r="V32" s="72"/>
      <c r="W32" s="72" t="s">
        <v>237</v>
      </c>
      <c r="X32" s="387">
        <v>8.375</v>
      </c>
      <c r="Y32" s="2"/>
      <c r="Z32" s="378"/>
      <c r="AA32" s="72"/>
      <c r="AB32" s="72"/>
      <c r="AC32" s="72" t="s">
        <v>237</v>
      </c>
      <c r="AD32" s="387">
        <v>10.875</v>
      </c>
      <c r="AE32" s="2"/>
      <c r="AF32" s="378"/>
      <c r="AG32" s="72"/>
      <c r="AH32" s="72"/>
      <c r="AI32" s="72" t="s">
        <v>6</v>
      </c>
      <c r="AJ32" s="387">
        <v>19.750000000000004</v>
      </c>
    </row>
    <row r="33" spans="2:36" x14ac:dyDescent="0.25">
      <c r="B33" s="378" t="s">
        <v>230</v>
      </c>
      <c r="C33" s="379">
        <v>1.5741000000000002E-2</v>
      </c>
      <c r="D33" s="72"/>
      <c r="E33" s="72" t="s">
        <v>7</v>
      </c>
      <c r="F33" s="380">
        <v>2.3124999999999999E-3</v>
      </c>
      <c r="G33" s="2"/>
      <c r="H33" s="378"/>
      <c r="I33" s="72"/>
      <c r="J33" s="72"/>
      <c r="K33" s="72"/>
      <c r="L33" s="72"/>
      <c r="M33" s="72"/>
      <c r="N33" s="72"/>
      <c r="O33" s="379"/>
      <c r="P33" s="72"/>
      <c r="Q33" s="72" t="s">
        <v>7</v>
      </c>
      <c r="R33" s="380">
        <v>1.7911999999999997E-2</v>
      </c>
      <c r="S33" s="2"/>
      <c r="T33" s="378"/>
      <c r="U33" s="72"/>
      <c r="V33" s="72"/>
      <c r="W33" s="72" t="s">
        <v>238</v>
      </c>
      <c r="X33" s="387">
        <v>8.625</v>
      </c>
      <c r="Y33" s="2"/>
      <c r="Z33" s="378"/>
      <c r="AA33" s="72"/>
      <c r="AB33" s="72"/>
      <c r="AC33" s="72" t="s">
        <v>238</v>
      </c>
      <c r="AD33" s="387">
        <v>10.875</v>
      </c>
      <c r="AE33" s="2"/>
      <c r="AF33" s="378"/>
      <c r="AG33" s="72"/>
      <c r="AH33" s="72"/>
      <c r="AI33" s="72" t="s">
        <v>7</v>
      </c>
      <c r="AJ33" s="387">
        <v>19.750000000000004</v>
      </c>
    </row>
    <row r="34" spans="2:36" x14ac:dyDescent="0.25">
      <c r="B34" s="378" t="s">
        <v>138</v>
      </c>
      <c r="C34" s="379">
        <v>1.5531E-2</v>
      </c>
      <c r="D34" s="72"/>
      <c r="E34" s="72" t="s">
        <v>8</v>
      </c>
      <c r="F34" s="380">
        <v>2.2875E-3</v>
      </c>
      <c r="G34" s="2"/>
      <c r="H34" s="378"/>
      <c r="I34" s="72"/>
      <c r="J34" s="72"/>
      <c r="K34" s="72"/>
      <c r="L34" s="72"/>
      <c r="M34" s="72"/>
      <c r="N34" s="72"/>
      <c r="O34" s="379"/>
      <c r="P34" s="72"/>
      <c r="Q34" s="72" t="s">
        <v>8</v>
      </c>
      <c r="R34" s="380">
        <v>1.8471999999999999E-2</v>
      </c>
      <c r="S34" s="2"/>
      <c r="T34" s="378"/>
      <c r="U34" s="72"/>
      <c r="V34" s="72"/>
      <c r="W34" s="72" t="s">
        <v>5</v>
      </c>
      <c r="X34" s="387">
        <v>8.75</v>
      </c>
      <c r="Y34" s="2"/>
      <c r="Z34" s="378"/>
      <c r="AA34" s="72"/>
      <c r="AB34" s="72"/>
      <c r="AC34" s="72" t="s">
        <v>5</v>
      </c>
      <c r="AD34" s="387">
        <v>10.875</v>
      </c>
      <c r="AE34" s="2"/>
      <c r="AF34" s="378"/>
      <c r="AG34" s="72"/>
      <c r="AH34" s="72"/>
      <c r="AI34" s="72" t="s">
        <v>8</v>
      </c>
      <c r="AJ34" s="387">
        <v>20.625</v>
      </c>
    </row>
    <row r="35" spans="2:36" x14ac:dyDescent="0.25">
      <c r="B35" s="378" t="s">
        <v>231</v>
      </c>
      <c r="C35" s="379">
        <v>1.5053E-2</v>
      </c>
      <c r="D35" s="72"/>
      <c r="E35" s="72" t="s">
        <v>239</v>
      </c>
      <c r="F35" s="380">
        <v>2.2625000000000002E-3</v>
      </c>
      <c r="G35" s="2"/>
      <c r="H35" s="378"/>
      <c r="I35" s="72"/>
      <c r="J35" s="72"/>
      <c r="K35" s="72"/>
      <c r="L35" s="72"/>
      <c r="M35" s="72"/>
      <c r="N35" s="72"/>
      <c r="O35" s="379"/>
      <c r="P35" s="72"/>
      <c r="Q35" s="72" t="s">
        <v>239</v>
      </c>
      <c r="R35" s="380">
        <v>1.8678999999999998E-2</v>
      </c>
      <c r="S35" s="2"/>
      <c r="T35" s="378"/>
      <c r="U35" s="72"/>
      <c r="V35" s="72"/>
      <c r="W35" s="72" t="s">
        <v>6</v>
      </c>
      <c r="X35" s="387">
        <v>9.125</v>
      </c>
      <c r="Y35" s="2"/>
      <c r="Z35" s="378"/>
      <c r="AA35" s="72"/>
      <c r="AB35" s="72"/>
      <c r="AC35" s="72" t="s">
        <v>6</v>
      </c>
      <c r="AD35" s="387">
        <v>10.75</v>
      </c>
      <c r="AE35" s="2"/>
      <c r="AF35" s="378"/>
      <c r="AG35" s="72"/>
      <c r="AH35" s="72"/>
      <c r="AI35" s="72" t="s">
        <v>239</v>
      </c>
      <c r="AJ35" s="387">
        <v>21.25</v>
      </c>
    </row>
    <row r="36" spans="2:36" x14ac:dyDescent="0.25">
      <c r="B36" s="378" t="s">
        <v>2</v>
      </c>
      <c r="C36" s="379">
        <v>1.4684999999999998E-2</v>
      </c>
      <c r="D36" s="72"/>
      <c r="E36" s="72" t="s">
        <v>9</v>
      </c>
      <c r="F36" s="380">
        <v>2.2499999999999998E-3</v>
      </c>
      <c r="G36" s="2"/>
      <c r="H36" s="378"/>
      <c r="I36" s="72"/>
      <c r="J36" s="72"/>
      <c r="K36" s="72"/>
      <c r="L36" s="72"/>
      <c r="M36" s="72"/>
      <c r="N36" s="72"/>
      <c r="O36" s="379"/>
      <c r="P36" s="72"/>
      <c r="Q36" s="72" t="s">
        <v>9</v>
      </c>
      <c r="R36" s="380">
        <v>1.8741000000000001E-2</v>
      </c>
      <c r="S36" s="2"/>
      <c r="T36" s="378"/>
      <c r="U36" s="72"/>
      <c r="V36" s="72"/>
      <c r="W36" s="72" t="s">
        <v>7</v>
      </c>
      <c r="X36" s="387">
        <v>9.5</v>
      </c>
      <c r="Y36" s="2"/>
      <c r="Z36" s="378"/>
      <c r="AA36" s="72"/>
      <c r="AB36" s="72"/>
      <c r="AC36" s="72" t="s">
        <v>7</v>
      </c>
      <c r="AD36" s="387">
        <v>10.75</v>
      </c>
      <c r="AE36" s="2"/>
      <c r="AF36" s="378"/>
      <c r="AG36" s="72"/>
      <c r="AH36" s="72"/>
      <c r="AI36" s="72" t="s">
        <v>9</v>
      </c>
      <c r="AJ36" s="387">
        <v>22.125</v>
      </c>
    </row>
    <row r="37" spans="2:36" x14ac:dyDescent="0.25">
      <c r="B37" s="378" t="s">
        <v>3</v>
      </c>
      <c r="C37" s="379">
        <v>1.3645000000000001E-2</v>
      </c>
      <c r="D37" s="72"/>
      <c r="E37" s="72" t="s">
        <v>38</v>
      </c>
      <c r="F37" s="380">
        <v>2.2499999999999998E-3</v>
      </c>
      <c r="G37" s="2"/>
      <c r="H37" s="378"/>
      <c r="I37" s="72"/>
      <c r="J37" s="72"/>
      <c r="K37" s="72"/>
      <c r="L37" s="72"/>
      <c r="M37" s="72"/>
      <c r="N37" s="72"/>
      <c r="O37" s="379"/>
      <c r="P37" s="72"/>
      <c r="Q37" s="72" t="s">
        <v>38</v>
      </c>
      <c r="R37" s="380">
        <v>1.8741000000000001E-2</v>
      </c>
      <c r="S37" s="2"/>
      <c r="T37" s="378"/>
      <c r="U37" s="72"/>
      <c r="V37" s="72"/>
      <c r="W37" s="72" t="s">
        <v>8</v>
      </c>
      <c r="X37" s="387">
        <v>10</v>
      </c>
      <c r="Y37" s="2"/>
      <c r="Z37" s="378"/>
      <c r="AA37" s="72"/>
      <c r="AB37" s="72"/>
      <c r="AC37" s="72" t="s">
        <v>8</v>
      </c>
      <c r="AD37" s="387">
        <v>10.625</v>
      </c>
      <c r="AE37" s="2"/>
      <c r="AF37" s="378"/>
      <c r="AG37" s="72"/>
      <c r="AH37" s="72"/>
      <c r="AI37" s="72" t="s">
        <v>38</v>
      </c>
      <c r="AJ37" s="387">
        <v>22.125</v>
      </c>
    </row>
    <row r="38" spans="2:36" x14ac:dyDescent="0.25">
      <c r="B38" s="378" t="s">
        <v>117</v>
      </c>
      <c r="C38" s="379">
        <v>1.3295E-2</v>
      </c>
      <c r="D38" s="72"/>
      <c r="E38" s="72" t="s">
        <v>39</v>
      </c>
      <c r="F38" s="380">
        <v>2.2499999999999998E-3</v>
      </c>
      <c r="G38" s="2"/>
      <c r="H38" s="378"/>
      <c r="I38" s="72"/>
      <c r="J38" s="72"/>
      <c r="K38" s="72"/>
      <c r="L38" s="72"/>
      <c r="M38" s="72"/>
      <c r="N38" s="72"/>
      <c r="O38" s="379"/>
      <c r="P38" s="72"/>
      <c r="Q38" s="72" t="s">
        <v>39</v>
      </c>
      <c r="R38" s="380">
        <v>1.8741000000000001E-2</v>
      </c>
      <c r="S38" s="2"/>
      <c r="T38" s="378"/>
      <c r="U38" s="72"/>
      <c r="V38" s="72"/>
      <c r="W38" s="72" t="s">
        <v>239</v>
      </c>
      <c r="X38" s="387">
        <v>10.25</v>
      </c>
      <c r="Y38" s="2"/>
      <c r="Z38" s="378"/>
      <c r="AA38" s="72"/>
      <c r="AB38" s="72"/>
      <c r="AC38" s="72" t="s">
        <v>239</v>
      </c>
      <c r="AD38" s="387">
        <v>10.625</v>
      </c>
      <c r="AE38" s="2"/>
      <c r="AF38" s="378"/>
      <c r="AG38" s="72"/>
      <c r="AH38" s="72"/>
      <c r="AI38" s="72" t="s">
        <v>39</v>
      </c>
      <c r="AJ38" s="387">
        <v>22.125</v>
      </c>
    </row>
    <row r="39" spans="2:36" x14ac:dyDescent="0.25">
      <c r="B39" s="378" t="s">
        <v>27</v>
      </c>
      <c r="C39" s="379">
        <v>1.316E-2</v>
      </c>
      <c r="D39" s="72"/>
      <c r="E39" s="72"/>
      <c r="F39" s="380"/>
      <c r="G39" s="2"/>
      <c r="H39" s="378"/>
      <c r="I39" s="72"/>
      <c r="J39" s="72"/>
      <c r="K39" s="72"/>
      <c r="L39" s="72"/>
      <c r="M39" s="72"/>
      <c r="N39" s="72"/>
      <c r="O39" s="379"/>
      <c r="P39" s="72"/>
      <c r="Q39" s="72"/>
      <c r="R39" s="380"/>
      <c r="S39" s="2"/>
      <c r="T39" s="378"/>
      <c r="U39" s="72"/>
      <c r="V39" s="72"/>
      <c r="W39" s="72" t="s">
        <v>9</v>
      </c>
      <c r="X39" s="387">
        <v>10.375</v>
      </c>
      <c r="Y39" s="2"/>
      <c r="Z39" s="378"/>
      <c r="AA39" s="72"/>
      <c r="AB39" s="72"/>
      <c r="AC39" s="72" t="s">
        <v>9</v>
      </c>
      <c r="AD39" s="387">
        <v>10.625</v>
      </c>
      <c r="AE39" s="2"/>
      <c r="AF39" s="378"/>
      <c r="AG39" s="72"/>
      <c r="AH39" s="72"/>
      <c r="AI39" s="72"/>
      <c r="AJ39" s="387"/>
    </row>
    <row r="40" spans="2:36" x14ac:dyDescent="0.25">
      <c r="B40" s="378" t="s">
        <v>4</v>
      </c>
      <c r="C40" s="379">
        <v>1.3180000000000001E-2</v>
      </c>
      <c r="D40" s="72"/>
      <c r="E40" s="72"/>
      <c r="F40" s="380"/>
      <c r="G40" s="2"/>
      <c r="H40" s="378"/>
      <c r="I40" s="72"/>
      <c r="J40" s="72"/>
      <c r="K40" s="72"/>
      <c r="L40" s="72"/>
      <c r="M40" s="72"/>
      <c r="N40" s="72"/>
      <c r="O40" s="379"/>
      <c r="P40" s="72"/>
      <c r="Q40" s="72"/>
      <c r="R40" s="380"/>
      <c r="S40" s="2"/>
      <c r="T40" s="378"/>
      <c r="U40" s="72"/>
      <c r="V40" s="72"/>
      <c r="W40" s="72" t="s">
        <v>38</v>
      </c>
      <c r="X40" s="387">
        <v>10.375</v>
      </c>
      <c r="Y40" s="2"/>
      <c r="Z40" s="378"/>
      <c r="AA40" s="72"/>
      <c r="AB40" s="72"/>
      <c r="AC40" s="72" t="s">
        <v>38</v>
      </c>
      <c r="AD40" s="387">
        <v>10.625</v>
      </c>
      <c r="AE40" s="2"/>
      <c r="AF40" s="378"/>
      <c r="AG40" s="72"/>
      <c r="AH40" s="72"/>
      <c r="AI40" s="72"/>
      <c r="AJ40" s="387"/>
    </row>
    <row r="41" spans="2:36" ht="15.75" thickBot="1" x14ac:dyDescent="0.3">
      <c r="B41" s="381"/>
      <c r="C41" s="382"/>
      <c r="D41" s="383"/>
      <c r="E41" s="383"/>
      <c r="F41" s="384"/>
      <c r="G41" s="2"/>
      <c r="H41" s="381"/>
      <c r="I41" s="383"/>
      <c r="J41" s="383"/>
      <c r="K41" s="383"/>
      <c r="L41" s="383"/>
      <c r="M41" s="383"/>
      <c r="N41" s="383"/>
      <c r="O41" s="383"/>
      <c r="P41" s="383"/>
      <c r="Q41" s="383"/>
      <c r="R41" s="384"/>
      <c r="S41" s="2"/>
      <c r="T41" s="381"/>
      <c r="U41" s="383"/>
      <c r="V41" s="383"/>
      <c r="W41" s="383" t="s">
        <v>39</v>
      </c>
      <c r="X41" s="388">
        <v>10.375</v>
      </c>
      <c r="Y41" s="2"/>
      <c r="Z41" s="381"/>
      <c r="AA41" s="383"/>
      <c r="AB41" s="383"/>
      <c r="AC41" s="383" t="s">
        <v>39</v>
      </c>
      <c r="AD41" s="388">
        <v>10.625</v>
      </c>
      <c r="AE41" s="2"/>
      <c r="AF41" s="381"/>
      <c r="AG41" s="383"/>
      <c r="AH41" s="383"/>
      <c r="AI41" s="383"/>
      <c r="AJ41" s="388"/>
    </row>
    <row r="42" spans="2:36" ht="15.75" thickTop="1" x14ac:dyDescent="0.25"/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J2:L39"/>
  <sheetViews>
    <sheetView showGridLines="0" zoomScaleNormal="100" workbookViewId="0"/>
  </sheetViews>
  <sheetFormatPr defaultRowHeight="15" x14ac:dyDescent="0.25"/>
  <cols>
    <col min="11" max="11" width="12.5703125" bestFit="1" customWidth="1"/>
  </cols>
  <sheetData>
    <row r="2" spans="10:12" x14ac:dyDescent="0.25">
      <c r="J2" s="93" t="s">
        <v>91</v>
      </c>
      <c r="K2" s="7"/>
    </row>
    <row r="3" spans="10:12" x14ac:dyDescent="0.25">
      <c r="J3" s="8" t="s">
        <v>0</v>
      </c>
      <c r="K3" s="9" t="s">
        <v>1</v>
      </c>
    </row>
    <row r="4" spans="10:12" x14ac:dyDescent="0.25">
      <c r="J4" s="15" t="s">
        <v>10</v>
      </c>
      <c r="K4" s="16">
        <v>2.1383800000000001E-2</v>
      </c>
    </row>
    <row r="5" spans="10:12" x14ac:dyDescent="0.25">
      <c r="J5" s="17" t="s">
        <v>2</v>
      </c>
      <c r="K5" s="18">
        <v>1.3599999999999994E-2</v>
      </c>
    </row>
    <row r="6" spans="10:12" x14ac:dyDescent="0.25">
      <c r="J6" s="17" t="s">
        <v>3</v>
      </c>
      <c r="K6" s="18">
        <v>1.2450000000000046E-2</v>
      </c>
    </row>
    <row r="7" spans="10:12" x14ac:dyDescent="0.25">
      <c r="J7" s="17" t="s">
        <v>4</v>
      </c>
      <c r="K7" s="18">
        <v>1.4067000000000001E-2</v>
      </c>
    </row>
    <row r="8" spans="10:12" x14ac:dyDescent="0.25">
      <c r="J8" s="17" t="s">
        <v>5</v>
      </c>
      <c r="K8" s="18">
        <v>1.4999999999999999E-2</v>
      </c>
    </row>
    <row r="9" spans="10:12" x14ac:dyDescent="0.25">
      <c r="J9" s="17" t="s">
        <v>6</v>
      </c>
      <c r="K9" s="18">
        <v>1.5442000000000001E-2</v>
      </c>
    </row>
    <row r="10" spans="10:12" x14ac:dyDescent="0.25">
      <c r="J10" s="17" t="s">
        <v>7</v>
      </c>
      <c r="K10" s="18">
        <v>1.5935999999999999E-2</v>
      </c>
    </row>
    <row r="11" spans="10:12" x14ac:dyDescent="0.25">
      <c r="J11" s="17" t="s">
        <v>8</v>
      </c>
      <c r="K11" s="18">
        <v>1.6493999999999998E-2</v>
      </c>
    </row>
    <row r="12" spans="10:12" x14ac:dyDescent="0.25">
      <c r="J12" s="19" t="s">
        <v>9</v>
      </c>
      <c r="K12" s="20">
        <v>1.6781999999999998E-2</v>
      </c>
    </row>
    <row r="13" spans="10:12" x14ac:dyDescent="0.25">
      <c r="J13" s="7"/>
      <c r="K13" s="7"/>
      <c r="L13" s="7"/>
    </row>
    <row r="14" spans="10:12" x14ac:dyDescent="0.25">
      <c r="J14" s="7"/>
      <c r="K14" s="7"/>
      <c r="L14" s="7"/>
    </row>
    <row r="15" spans="10:12" x14ac:dyDescent="0.25">
      <c r="J15" s="4"/>
      <c r="K15" s="3"/>
      <c r="L15" s="2"/>
    </row>
    <row r="19" spans="10:12" x14ac:dyDescent="0.25">
      <c r="J19" s="10" t="s">
        <v>0</v>
      </c>
      <c r="K19" s="11" t="s">
        <v>11</v>
      </c>
      <c r="L19" s="12" t="s">
        <v>12</v>
      </c>
    </row>
    <row r="20" spans="10:12" x14ac:dyDescent="0.25">
      <c r="J20" s="21">
        <v>0.25</v>
      </c>
      <c r="K20" s="22">
        <v>2.1383800000000001E-2</v>
      </c>
      <c r="L20" s="23">
        <v>2.1383800000000001E-2</v>
      </c>
    </row>
    <row r="21" spans="10:12" x14ac:dyDescent="0.25">
      <c r="J21" s="24">
        <v>0.5</v>
      </c>
      <c r="K21" s="25">
        <v>1.8343902469135802E-2</v>
      </c>
      <c r="L21" s="26"/>
    </row>
    <row r="22" spans="10:12" x14ac:dyDescent="0.25">
      <c r="J22" s="24">
        <v>0.75</v>
      </c>
      <c r="K22" s="25">
        <v>1.5637978086419754E-2</v>
      </c>
      <c r="L22" s="26"/>
    </row>
    <row r="23" spans="10:12" x14ac:dyDescent="0.25">
      <c r="J23" s="24">
        <v>1</v>
      </c>
      <c r="K23" s="27">
        <v>1.3599999999999999E-2</v>
      </c>
      <c r="L23" s="28">
        <v>1.3599999999999994E-2</v>
      </c>
    </row>
    <row r="24" spans="10:12" x14ac:dyDescent="0.25">
      <c r="J24" s="24">
        <v>1.25</v>
      </c>
      <c r="K24" s="25">
        <v>1.2464613020833331E-2</v>
      </c>
      <c r="L24" s="26"/>
    </row>
    <row r="25" spans="10:12" x14ac:dyDescent="0.25">
      <c r="J25" s="24">
        <v>1.5</v>
      </c>
      <c r="K25" s="25">
        <v>1.206914861111111E-2</v>
      </c>
      <c r="L25" s="26"/>
    </row>
    <row r="26" spans="10:12" x14ac:dyDescent="0.25">
      <c r="J26" s="24">
        <v>1.75</v>
      </c>
      <c r="K26" s="25">
        <v>1.2151609895833332E-2</v>
      </c>
      <c r="L26" s="26"/>
    </row>
    <row r="27" spans="10:12" x14ac:dyDescent="0.25">
      <c r="J27" s="24">
        <v>2</v>
      </c>
      <c r="K27" s="27">
        <v>1.2449999999999999E-2</v>
      </c>
      <c r="L27" s="28">
        <v>1.2450000000000046E-2</v>
      </c>
    </row>
    <row r="28" spans="10:12" x14ac:dyDescent="0.25">
      <c r="J28" s="24">
        <v>2.25</v>
      </c>
      <c r="K28" s="25">
        <v>1.2746628028549381E-2</v>
      </c>
      <c r="L28" s="26"/>
    </row>
    <row r="29" spans="10:12" x14ac:dyDescent="0.25">
      <c r="J29" s="24">
        <v>2.5</v>
      </c>
      <c r="K29" s="25">
        <v>1.300102700617284E-2</v>
      </c>
      <c r="L29" s="26"/>
    </row>
    <row r="30" spans="10:12" x14ac:dyDescent="0.25">
      <c r="J30" s="24">
        <v>2.75</v>
      </c>
      <c r="K30" s="25">
        <v>1.3217035937499998E-2</v>
      </c>
      <c r="L30" s="26"/>
    </row>
    <row r="31" spans="10:12" x14ac:dyDescent="0.25">
      <c r="J31" s="24">
        <v>3</v>
      </c>
      <c r="K31" s="25">
        <v>1.339849382716049E-2</v>
      </c>
      <c r="L31" s="26"/>
    </row>
    <row r="32" spans="10:12" x14ac:dyDescent="0.25">
      <c r="J32" s="24">
        <v>3.25</v>
      </c>
      <c r="K32" s="25">
        <v>1.3549239679783951E-2</v>
      </c>
      <c r="L32" s="26"/>
    </row>
    <row r="33" spans="10:12" x14ac:dyDescent="0.25">
      <c r="J33" s="24">
        <v>3.5</v>
      </c>
      <c r="K33" s="25">
        <v>1.3673112499999999E-2</v>
      </c>
      <c r="L33" s="26"/>
    </row>
    <row r="34" spans="10:12" x14ac:dyDescent="0.25">
      <c r="J34" s="24">
        <v>3.75</v>
      </c>
      <c r="K34" s="25">
        <v>1.3773951292438271E-2</v>
      </c>
      <c r="L34" s="26"/>
    </row>
    <row r="35" spans="10:12" x14ac:dyDescent="0.25">
      <c r="J35" s="24">
        <v>4</v>
      </c>
      <c r="K35" s="25">
        <v>1.3855595061728393E-2</v>
      </c>
      <c r="L35" s="26"/>
    </row>
    <row r="36" spans="10:12" x14ac:dyDescent="0.25">
      <c r="J36" s="24">
        <v>4.25</v>
      </c>
      <c r="K36" s="25">
        <v>1.3921882812500001E-2</v>
      </c>
      <c r="L36" s="26"/>
    </row>
    <row r="37" spans="10:12" x14ac:dyDescent="0.25">
      <c r="J37" s="24">
        <v>4.5</v>
      </c>
      <c r="K37" s="25">
        <v>1.3976653549382717E-2</v>
      </c>
      <c r="L37" s="26"/>
    </row>
    <row r="38" spans="10:12" x14ac:dyDescent="0.25">
      <c r="J38" s="24">
        <v>4.75</v>
      </c>
      <c r="K38" s="25">
        <v>1.4023746277006173E-2</v>
      </c>
      <c r="L38" s="26"/>
    </row>
    <row r="39" spans="10:12" x14ac:dyDescent="0.25">
      <c r="J39" s="29">
        <v>5</v>
      </c>
      <c r="K39" s="30">
        <v>1.4067E-2</v>
      </c>
      <c r="L39" s="31">
        <v>1.4067000000000001E-2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Z75"/>
  <sheetViews>
    <sheetView showGridLines="0" zoomScaleNormal="100" workbookViewId="0"/>
  </sheetViews>
  <sheetFormatPr defaultRowHeight="15" x14ac:dyDescent="0.25"/>
  <cols>
    <col min="2" max="2" width="4.85546875" bestFit="1" customWidth="1"/>
    <col min="3" max="5" width="11.7109375" customWidth="1"/>
    <col min="6" max="6" width="11.140625" bestFit="1" customWidth="1"/>
    <col min="7" max="9" width="11.7109375" customWidth="1"/>
    <col min="13" max="13" width="10.85546875" bestFit="1" customWidth="1"/>
    <col min="14" max="14" width="12" bestFit="1" customWidth="1"/>
    <col min="15" max="15" width="10.85546875" bestFit="1" customWidth="1"/>
    <col min="16" max="16" width="12" bestFit="1" customWidth="1"/>
    <col min="17" max="17" width="11.140625" bestFit="1" customWidth="1"/>
    <col min="18" max="18" width="9.85546875" bestFit="1" customWidth="1"/>
  </cols>
  <sheetData>
    <row r="2" spans="3:26" x14ac:dyDescent="0.25">
      <c r="C2" s="13" t="s">
        <v>214</v>
      </c>
    </row>
    <row r="3" spans="3:26" x14ac:dyDescent="0.25">
      <c r="C3" s="179" t="s">
        <v>216</v>
      </c>
    </row>
    <row r="4" spans="3:26" x14ac:dyDescent="0.25">
      <c r="C4" s="179" t="s">
        <v>217</v>
      </c>
    </row>
    <row r="8" spans="3:26" x14ac:dyDescent="0.25">
      <c r="C8" s="13" t="s">
        <v>209</v>
      </c>
      <c r="H8" s="13" t="s">
        <v>210</v>
      </c>
    </row>
    <row r="9" spans="3:26" x14ac:dyDescent="0.25">
      <c r="C9" s="13"/>
      <c r="H9" s="13"/>
    </row>
    <row r="10" spans="3:26" ht="18" x14ac:dyDescent="0.25">
      <c r="C10" s="11" t="s">
        <v>137</v>
      </c>
      <c r="D10" s="11" t="s">
        <v>14</v>
      </c>
      <c r="E10" s="11" t="s">
        <v>211</v>
      </c>
      <c r="F10" s="11" t="s">
        <v>215</v>
      </c>
      <c r="H10" s="11" t="s">
        <v>137</v>
      </c>
      <c r="I10" s="11" t="s">
        <v>218</v>
      </c>
    </row>
    <row r="11" spans="3:26" x14ac:dyDescent="0.25">
      <c r="C11" s="221">
        <v>1</v>
      </c>
      <c r="D11" s="225" t="s">
        <v>199</v>
      </c>
      <c r="E11" s="258">
        <v>1.7891899999999999E-2</v>
      </c>
      <c r="F11" s="218">
        <v>1</v>
      </c>
      <c r="H11" s="221">
        <v>1</v>
      </c>
      <c r="I11" s="244">
        <f ca="1">S20</f>
        <v>1.7891899999999999E-2</v>
      </c>
    </row>
    <row r="12" spans="3:26" x14ac:dyDescent="0.25">
      <c r="C12" s="222">
        <v>2</v>
      </c>
      <c r="D12" s="224" t="s">
        <v>199</v>
      </c>
      <c r="E12" s="259">
        <v>1.45947E-2</v>
      </c>
      <c r="F12" s="219">
        <v>1</v>
      </c>
      <c r="H12" s="222">
        <v>2</v>
      </c>
      <c r="I12" s="245">
        <f ca="1">S25</f>
        <v>1.1297500000000004E-2</v>
      </c>
    </row>
    <row r="13" spans="3:26" x14ac:dyDescent="0.25">
      <c r="C13" s="222">
        <v>3</v>
      </c>
      <c r="D13" s="224" t="s">
        <v>199</v>
      </c>
      <c r="E13" s="259">
        <v>1.5193E-2</v>
      </c>
      <c r="F13" s="219">
        <v>1</v>
      </c>
      <c r="H13" s="222">
        <v>3</v>
      </c>
      <c r="I13" s="245">
        <f ca="1">S31</f>
        <v>1.6389599999999997E-2</v>
      </c>
    </row>
    <row r="14" spans="3:26" x14ac:dyDescent="0.25">
      <c r="C14" s="222">
        <v>4</v>
      </c>
      <c r="D14" s="224" t="s">
        <v>199</v>
      </c>
      <c r="E14" s="259">
        <v>1.6036000000000002E-2</v>
      </c>
      <c r="F14" s="219">
        <v>1</v>
      </c>
      <c r="H14" s="222">
        <v>4</v>
      </c>
      <c r="I14" s="245">
        <f ca="1">S38</f>
        <v>1.8565000000000009E-2</v>
      </c>
    </row>
    <row r="15" spans="3:26" x14ac:dyDescent="0.25">
      <c r="C15" s="223">
        <v>5</v>
      </c>
      <c r="D15" s="226" t="s">
        <v>199</v>
      </c>
      <c r="E15" s="260">
        <v>1.6587999999999999E-2</v>
      </c>
      <c r="F15" s="220">
        <v>1</v>
      </c>
      <c r="H15" s="223">
        <v>5</v>
      </c>
      <c r="I15" s="246">
        <f ca="1">S46</f>
        <v>1.8795999999999993E-2</v>
      </c>
    </row>
    <row r="16" spans="3:26" ht="18" x14ac:dyDescent="0.25">
      <c r="C16" s="239" t="s">
        <v>220</v>
      </c>
      <c r="D16" s="1"/>
      <c r="E16" s="181"/>
      <c r="H16" s="217"/>
      <c r="Z16" t="s">
        <v>221</v>
      </c>
    </row>
    <row r="18" spans="2:23" x14ac:dyDescent="0.25">
      <c r="B18" s="44"/>
      <c r="C18" s="140" t="s">
        <v>206</v>
      </c>
      <c r="D18" s="44"/>
      <c r="E18" s="44"/>
      <c r="F18" s="44"/>
      <c r="G18" s="44"/>
      <c r="H18" s="231"/>
      <c r="I18" s="141"/>
      <c r="J18" s="141" t="s">
        <v>205</v>
      </c>
      <c r="K18" s="227">
        <f ca="1">SUM(K20:K20)</f>
        <v>17891.899999999998</v>
      </c>
      <c r="L18" s="44"/>
      <c r="M18" s="140" t="s">
        <v>207</v>
      </c>
      <c r="N18" s="44"/>
      <c r="O18" s="44"/>
      <c r="P18" s="44"/>
      <c r="Q18" s="44"/>
      <c r="R18" s="44"/>
      <c r="S18" s="232"/>
      <c r="T18" s="44"/>
      <c r="U18" s="141" t="s">
        <v>205</v>
      </c>
      <c r="V18" s="227">
        <f ca="1">SUM(V20:V20)</f>
        <v>17891.899999999998</v>
      </c>
    </row>
    <row r="19" spans="2:23" ht="18" x14ac:dyDescent="0.25">
      <c r="B19" s="200" t="s">
        <v>200</v>
      </c>
      <c r="C19" s="142" t="s">
        <v>166</v>
      </c>
      <c r="D19" s="143" t="s">
        <v>167</v>
      </c>
      <c r="E19" s="143" t="s">
        <v>168</v>
      </c>
      <c r="F19" s="144" t="s">
        <v>201</v>
      </c>
      <c r="G19" s="144" t="s">
        <v>170</v>
      </c>
      <c r="H19" s="229" t="s">
        <v>211</v>
      </c>
      <c r="I19" s="144" t="s">
        <v>172</v>
      </c>
      <c r="J19" s="144" t="s">
        <v>208</v>
      </c>
      <c r="K19" s="161" t="s">
        <v>202</v>
      </c>
      <c r="L19" s="201" t="s">
        <v>200</v>
      </c>
      <c r="M19" s="145" t="s">
        <v>175</v>
      </c>
      <c r="N19" s="143" t="s">
        <v>166</v>
      </c>
      <c r="O19" s="143" t="s">
        <v>167</v>
      </c>
      <c r="P19" s="143" t="s">
        <v>168</v>
      </c>
      <c r="Q19" s="144" t="s">
        <v>176</v>
      </c>
      <c r="R19" s="144" t="s">
        <v>170</v>
      </c>
      <c r="S19" s="229" t="s">
        <v>203</v>
      </c>
      <c r="T19" s="144" t="s">
        <v>180</v>
      </c>
      <c r="U19" s="144" t="s">
        <v>222</v>
      </c>
      <c r="V19" s="161" t="s">
        <v>204</v>
      </c>
    </row>
    <row r="20" spans="2:23" x14ac:dyDescent="0.25">
      <c r="B20" s="200">
        <v>1</v>
      </c>
      <c r="C20" s="212">
        <v>43739</v>
      </c>
      <c r="D20" s="213">
        <v>44104.25</v>
      </c>
      <c r="E20" s="213">
        <v>44104.25</v>
      </c>
      <c r="F20" s="214">
        <v>1</v>
      </c>
      <c r="G20" s="215">
        <v>1000000</v>
      </c>
      <c r="H20" s="241">
        <f ca="1">ParRate1Y</f>
        <v>1.7891899999999999E-2</v>
      </c>
      <c r="I20" s="214">
        <v>1</v>
      </c>
      <c r="J20" s="240">
        <f ca="1">DiscountFactor1Y</f>
        <v>1</v>
      </c>
      <c r="K20" s="216">
        <f ca="1">G20*H20*I20*J20</f>
        <v>17891.899999999998</v>
      </c>
      <c r="L20" s="201">
        <v>1</v>
      </c>
      <c r="M20" s="212">
        <v>43739</v>
      </c>
      <c r="N20" s="213">
        <v>43739</v>
      </c>
      <c r="O20" s="213">
        <v>44104.25</v>
      </c>
      <c r="P20" s="213">
        <v>44104.25</v>
      </c>
      <c r="Q20" s="214">
        <v>1</v>
      </c>
      <c r="R20" s="215">
        <v>1000000</v>
      </c>
      <c r="S20" s="233">
        <f ca="1">($K$18)/(R20*T20*U20)</f>
        <v>1.7891899999999999E-2</v>
      </c>
      <c r="T20" s="214">
        <v>1</v>
      </c>
      <c r="U20" s="240">
        <f ca="1">DiscountFactor1Y</f>
        <v>1</v>
      </c>
      <c r="V20" s="164">
        <f t="shared" ref="V20" ca="1" si="0">R20*S20*T20*U20</f>
        <v>17891.899999999998</v>
      </c>
      <c r="W20" s="228" t="s">
        <v>212</v>
      </c>
    </row>
    <row r="21" spans="2:23" x14ac:dyDescent="0.25">
      <c r="H21" s="231"/>
      <c r="S21" s="230"/>
    </row>
    <row r="22" spans="2:23" x14ac:dyDescent="0.25">
      <c r="B22" s="44"/>
      <c r="C22" s="140" t="s">
        <v>206</v>
      </c>
      <c r="D22" s="44"/>
      <c r="E22" s="44"/>
      <c r="F22" s="44"/>
      <c r="G22" s="44"/>
      <c r="H22" s="231"/>
      <c r="I22" s="141"/>
      <c r="J22" s="141" t="s">
        <v>205</v>
      </c>
      <c r="K22" s="227">
        <f ca="1">SUM(K24:K25)</f>
        <v>29189.4</v>
      </c>
      <c r="L22" s="44"/>
      <c r="M22" s="140" t="s">
        <v>207</v>
      </c>
      <c r="N22" s="44"/>
      <c r="O22" s="44"/>
      <c r="P22" s="44"/>
      <c r="Q22" s="44"/>
      <c r="R22" s="44"/>
      <c r="S22" s="232"/>
      <c r="T22" s="44"/>
      <c r="U22" s="141" t="s">
        <v>205</v>
      </c>
      <c r="V22" s="227">
        <f ca="1">SUM(V24:V25)</f>
        <v>29189.4</v>
      </c>
    </row>
    <row r="23" spans="2:23" ht="18" x14ac:dyDescent="0.25">
      <c r="B23" s="200" t="s">
        <v>200</v>
      </c>
      <c r="C23" s="142" t="s">
        <v>166</v>
      </c>
      <c r="D23" s="143" t="s">
        <v>167</v>
      </c>
      <c r="E23" s="143" t="s">
        <v>168</v>
      </c>
      <c r="F23" s="144" t="s">
        <v>201</v>
      </c>
      <c r="G23" s="144" t="s">
        <v>170</v>
      </c>
      <c r="H23" s="229" t="s">
        <v>211</v>
      </c>
      <c r="I23" s="144" t="s">
        <v>172</v>
      </c>
      <c r="J23" s="144" t="s">
        <v>208</v>
      </c>
      <c r="K23" s="161" t="s">
        <v>202</v>
      </c>
      <c r="L23" s="201" t="s">
        <v>200</v>
      </c>
      <c r="M23" s="145" t="s">
        <v>175</v>
      </c>
      <c r="N23" s="143" t="s">
        <v>166</v>
      </c>
      <c r="O23" s="143" t="s">
        <v>167</v>
      </c>
      <c r="P23" s="143" t="s">
        <v>168</v>
      </c>
      <c r="Q23" s="144" t="s">
        <v>176</v>
      </c>
      <c r="R23" s="144" t="s">
        <v>170</v>
      </c>
      <c r="S23" s="229" t="s">
        <v>203</v>
      </c>
      <c r="T23" s="144" t="s">
        <v>180</v>
      </c>
      <c r="U23" s="144" t="s">
        <v>222</v>
      </c>
      <c r="V23" s="161" t="s">
        <v>204</v>
      </c>
    </row>
    <row r="24" spans="2:23" x14ac:dyDescent="0.25">
      <c r="B24" s="200">
        <v>1</v>
      </c>
      <c r="C24" s="202">
        <v>43739</v>
      </c>
      <c r="D24" s="203">
        <v>44104.25</v>
      </c>
      <c r="E24" s="203">
        <v>44104.25</v>
      </c>
      <c r="F24" s="204">
        <v>1</v>
      </c>
      <c r="G24" s="205">
        <v>1000000</v>
      </c>
      <c r="H24" s="234">
        <f ca="1">ParRate2Y</f>
        <v>1.45947E-2</v>
      </c>
      <c r="I24" s="204">
        <v>1</v>
      </c>
      <c r="J24" s="242">
        <f ca="1">DiscountFactor1Y</f>
        <v>1</v>
      </c>
      <c r="K24" s="210">
        <f t="shared" ref="K24:K25" ca="1" si="1">G24*H24*I24*J24</f>
        <v>14594.7</v>
      </c>
      <c r="L24" s="201">
        <v>1</v>
      </c>
      <c r="M24" s="202">
        <v>43739</v>
      </c>
      <c r="N24" s="203">
        <v>43739</v>
      </c>
      <c r="O24" s="203">
        <v>44104.25</v>
      </c>
      <c r="P24" s="203">
        <v>44104.25</v>
      </c>
      <c r="Q24" s="204">
        <v>1</v>
      </c>
      <c r="R24" s="205">
        <v>1000000</v>
      </c>
      <c r="S24" s="236">
        <f ca="1">$S$20</f>
        <v>1.7891899999999999E-2</v>
      </c>
      <c r="T24" s="204">
        <v>1</v>
      </c>
      <c r="U24" s="242">
        <f ca="1">DiscountFactor1Y</f>
        <v>1</v>
      </c>
      <c r="V24" s="162">
        <f t="shared" ref="V24:V25" ca="1" si="2">R24*S24*T24*U24</f>
        <v>17891.899999999998</v>
      </c>
      <c r="W24" s="179" t="s">
        <v>213</v>
      </c>
    </row>
    <row r="25" spans="2:23" x14ac:dyDescent="0.25">
      <c r="B25" s="200">
        <v>2</v>
      </c>
      <c r="C25" s="212">
        <v>44104.25</v>
      </c>
      <c r="D25" s="213">
        <v>44469.5</v>
      </c>
      <c r="E25" s="213">
        <v>44469.5</v>
      </c>
      <c r="F25" s="214">
        <v>2</v>
      </c>
      <c r="G25" s="215">
        <v>1000000</v>
      </c>
      <c r="H25" s="241">
        <f ca="1">ParRate2Y</f>
        <v>1.45947E-2</v>
      </c>
      <c r="I25" s="214">
        <v>1</v>
      </c>
      <c r="J25" s="240">
        <f ca="1">DiscountFactor2Y</f>
        <v>1</v>
      </c>
      <c r="K25" s="216">
        <f t="shared" ca="1" si="1"/>
        <v>14594.7</v>
      </c>
      <c r="L25" s="201">
        <v>2</v>
      </c>
      <c r="M25" s="212">
        <v>44104.25</v>
      </c>
      <c r="N25" s="213">
        <v>44104.25</v>
      </c>
      <c r="O25" s="213">
        <v>44469.5</v>
      </c>
      <c r="P25" s="213">
        <v>44469.5</v>
      </c>
      <c r="Q25" s="214">
        <v>2</v>
      </c>
      <c r="R25" s="215">
        <v>1000000</v>
      </c>
      <c r="S25" s="233">
        <f ca="1">($K$22-$V$24)/(R25*T25*U25)</f>
        <v>1.1297500000000004E-2</v>
      </c>
      <c r="T25" s="214">
        <v>1</v>
      </c>
      <c r="U25" s="240">
        <f ca="1">DiscountFactor2Y</f>
        <v>1</v>
      </c>
      <c r="V25" s="164">
        <f t="shared" ca="1" si="2"/>
        <v>11297.500000000004</v>
      </c>
      <c r="W25" s="228" t="s">
        <v>212</v>
      </c>
    </row>
    <row r="26" spans="2:23" x14ac:dyDescent="0.25">
      <c r="H26" s="231"/>
      <c r="S26" s="230"/>
    </row>
    <row r="27" spans="2:23" x14ac:dyDescent="0.25">
      <c r="B27" s="44"/>
      <c r="C27" s="140" t="s">
        <v>206</v>
      </c>
      <c r="D27" s="44"/>
      <c r="E27" s="44"/>
      <c r="F27" s="44"/>
      <c r="G27" s="44"/>
      <c r="H27" s="231"/>
      <c r="I27" s="141"/>
      <c r="J27" s="141" t="s">
        <v>205</v>
      </c>
      <c r="K27" s="227">
        <f ca="1">SUM(K29:K31)</f>
        <v>45579</v>
      </c>
      <c r="L27" s="44"/>
      <c r="M27" s="140" t="s">
        <v>207</v>
      </c>
      <c r="N27" s="44"/>
      <c r="O27" s="44"/>
      <c r="P27" s="44"/>
      <c r="Q27" s="44"/>
      <c r="R27" s="44"/>
      <c r="S27" s="232"/>
      <c r="T27" s="44"/>
      <c r="U27" s="141" t="s">
        <v>205</v>
      </c>
      <c r="V27" s="227">
        <f ca="1">SUM(V29:V31)</f>
        <v>45579</v>
      </c>
    </row>
    <row r="28" spans="2:23" ht="18" x14ac:dyDescent="0.25">
      <c r="B28" s="200" t="s">
        <v>200</v>
      </c>
      <c r="C28" s="142" t="s">
        <v>166</v>
      </c>
      <c r="D28" s="143" t="s">
        <v>167</v>
      </c>
      <c r="E28" s="143" t="s">
        <v>168</v>
      </c>
      <c r="F28" s="144" t="s">
        <v>201</v>
      </c>
      <c r="G28" s="144" t="s">
        <v>170</v>
      </c>
      <c r="H28" s="229" t="s">
        <v>211</v>
      </c>
      <c r="I28" s="144" t="s">
        <v>172</v>
      </c>
      <c r="J28" s="144" t="s">
        <v>208</v>
      </c>
      <c r="K28" s="161" t="s">
        <v>202</v>
      </c>
      <c r="L28" s="201" t="s">
        <v>200</v>
      </c>
      <c r="M28" s="145" t="s">
        <v>175</v>
      </c>
      <c r="N28" s="143" t="s">
        <v>166</v>
      </c>
      <c r="O28" s="143" t="s">
        <v>167</v>
      </c>
      <c r="P28" s="143" t="s">
        <v>168</v>
      </c>
      <c r="Q28" s="144" t="s">
        <v>176</v>
      </c>
      <c r="R28" s="144" t="s">
        <v>170</v>
      </c>
      <c r="S28" s="229" t="s">
        <v>203</v>
      </c>
      <c r="T28" s="144" t="s">
        <v>180</v>
      </c>
      <c r="U28" s="144" t="s">
        <v>222</v>
      </c>
      <c r="V28" s="161" t="s">
        <v>204</v>
      </c>
    </row>
    <row r="29" spans="2:23" x14ac:dyDescent="0.25">
      <c r="B29" s="200">
        <v>1</v>
      </c>
      <c r="C29" s="202">
        <v>43739</v>
      </c>
      <c r="D29" s="203">
        <v>44104.25</v>
      </c>
      <c r="E29" s="203">
        <v>44104.25</v>
      </c>
      <c r="F29" s="204">
        <v>1</v>
      </c>
      <c r="G29" s="205">
        <v>1000000</v>
      </c>
      <c r="H29" s="234">
        <f ca="1">ParRate3Y</f>
        <v>1.5193E-2</v>
      </c>
      <c r="I29" s="204">
        <v>1</v>
      </c>
      <c r="J29" s="242">
        <f ca="1">DiscountFactor1Y</f>
        <v>1</v>
      </c>
      <c r="K29" s="210">
        <f t="shared" ref="K29:K31" ca="1" si="3">G29*H29*I29*J29</f>
        <v>15193</v>
      </c>
      <c r="L29" s="201">
        <v>1</v>
      </c>
      <c r="M29" s="202">
        <v>43739</v>
      </c>
      <c r="N29" s="203">
        <v>43739</v>
      </c>
      <c r="O29" s="203">
        <v>44104.25</v>
      </c>
      <c r="P29" s="203">
        <v>44104.25</v>
      </c>
      <c r="Q29" s="204">
        <v>1</v>
      </c>
      <c r="R29" s="205">
        <v>1000000</v>
      </c>
      <c r="S29" s="236">
        <f ca="1">$S$20</f>
        <v>1.7891899999999999E-2</v>
      </c>
      <c r="T29" s="204">
        <v>1</v>
      </c>
      <c r="U29" s="242">
        <f ca="1">DiscountFactor1Y</f>
        <v>1</v>
      </c>
      <c r="V29" s="162">
        <f t="shared" ref="V29:V31" ca="1" si="4">R29*S29*T29*U29</f>
        <v>17891.899999999998</v>
      </c>
      <c r="W29" s="179" t="s">
        <v>213</v>
      </c>
    </row>
    <row r="30" spans="2:23" x14ac:dyDescent="0.25">
      <c r="B30" s="200">
        <v>2</v>
      </c>
      <c r="C30" s="206">
        <v>44104.25</v>
      </c>
      <c r="D30" s="207">
        <v>44469.5</v>
      </c>
      <c r="E30" s="207">
        <v>44469.5</v>
      </c>
      <c r="F30" s="208">
        <v>2</v>
      </c>
      <c r="G30" s="209">
        <v>1000000</v>
      </c>
      <c r="H30" s="235">
        <f ca="1">ParRate3Y</f>
        <v>1.5193E-2</v>
      </c>
      <c r="I30" s="208">
        <v>1</v>
      </c>
      <c r="J30" s="243">
        <f ca="1">DiscountFactor2Y</f>
        <v>1</v>
      </c>
      <c r="K30" s="211">
        <f t="shared" ca="1" si="3"/>
        <v>15193</v>
      </c>
      <c r="L30" s="201">
        <v>2</v>
      </c>
      <c r="M30" s="206">
        <v>44104.25</v>
      </c>
      <c r="N30" s="207">
        <v>44104.25</v>
      </c>
      <c r="O30" s="207">
        <v>44469.5</v>
      </c>
      <c r="P30" s="207">
        <v>44469.5</v>
      </c>
      <c r="Q30" s="208">
        <v>2</v>
      </c>
      <c r="R30" s="209">
        <v>1000000</v>
      </c>
      <c r="S30" s="237">
        <f ca="1">$S$25</f>
        <v>1.1297500000000004E-2</v>
      </c>
      <c r="T30" s="208">
        <v>1</v>
      </c>
      <c r="U30" s="243">
        <f ca="1">DiscountFactor2Y</f>
        <v>1</v>
      </c>
      <c r="V30" s="163">
        <f t="shared" ca="1" si="4"/>
        <v>11297.500000000004</v>
      </c>
      <c r="W30" s="179" t="s">
        <v>213</v>
      </c>
    </row>
    <row r="31" spans="2:23" x14ac:dyDescent="0.25">
      <c r="B31" s="200">
        <v>3</v>
      </c>
      <c r="C31" s="212">
        <v>44469.5</v>
      </c>
      <c r="D31" s="213">
        <v>44834.75</v>
      </c>
      <c r="E31" s="213">
        <v>44834.75</v>
      </c>
      <c r="F31" s="214">
        <v>3</v>
      </c>
      <c r="G31" s="215">
        <v>1000000</v>
      </c>
      <c r="H31" s="241">
        <f ca="1">ParRate3Y</f>
        <v>1.5193E-2</v>
      </c>
      <c r="I31" s="214">
        <v>1</v>
      </c>
      <c r="J31" s="240">
        <f ca="1">DiscountFactor3Y</f>
        <v>1</v>
      </c>
      <c r="K31" s="216">
        <f t="shared" ca="1" si="3"/>
        <v>15193</v>
      </c>
      <c r="L31" s="201">
        <v>3</v>
      </c>
      <c r="M31" s="212">
        <v>44469.5</v>
      </c>
      <c r="N31" s="213">
        <v>44469.5</v>
      </c>
      <c r="O31" s="213">
        <v>44834.75</v>
      </c>
      <c r="P31" s="213">
        <v>44834.75</v>
      </c>
      <c r="Q31" s="214">
        <v>3</v>
      </c>
      <c r="R31" s="215">
        <v>1000000</v>
      </c>
      <c r="S31" s="233">
        <f ca="1">($K$27-SUM($V$29:V30))/(R31*T31*U31)</f>
        <v>1.6389599999999997E-2</v>
      </c>
      <c r="T31" s="214">
        <v>1</v>
      </c>
      <c r="U31" s="240">
        <f ca="1">DiscountFactor3Y</f>
        <v>1</v>
      </c>
      <c r="V31" s="164">
        <f t="shared" ca="1" si="4"/>
        <v>16389.599999999999</v>
      </c>
      <c r="W31" s="228" t="s">
        <v>212</v>
      </c>
    </row>
    <row r="32" spans="2:23" x14ac:dyDescent="0.25">
      <c r="H32" s="230"/>
      <c r="S32" s="230"/>
    </row>
    <row r="33" spans="2:23" x14ac:dyDescent="0.25">
      <c r="B33" s="44"/>
      <c r="C33" s="140" t="s">
        <v>206</v>
      </c>
      <c r="D33" s="44"/>
      <c r="E33" s="44"/>
      <c r="F33" s="44"/>
      <c r="G33" s="44"/>
      <c r="H33" s="231"/>
      <c r="I33" s="141"/>
      <c r="J33" s="141" t="s">
        <v>205</v>
      </c>
      <c r="K33" s="227">
        <f ca="1">SUM(K35:K38)</f>
        <v>64144.000000000007</v>
      </c>
      <c r="L33" s="44"/>
      <c r="M33" s="140" t="s">
        <v>207</v>
      </c>
      <c r="N33" s="44"/>
      <c r="O33" s="44"/>
      <c r="P33" s="44"/>
      <c r="Q33" s="44"/>
      <c r="R33" s="44"/>
      <c r="S33" s="232"/>
      <c r="T33" s="44"/>
      <c r="U33" s="141" t="s">
        <v>205</v>
      </c>
      <c r="V33" s="227">
        <f ca="1">SUM(V35:V38)</f>
        <v>64144.000000000007</v>
      </c>
    </row>
    <row r="34" spans="2:23" ht="18" x14ac:dyDescent="0.25">
      <c r="B34" s="200" t="s">
        <v>200</v>
      </c>
      <c r="C34" s="142" t="s">
        <v>166</v>
      </c>
      <c r="D34" s="143" t="s">
        <v>167</v>
      </c>
      <c r="E34" s="143" t="s">
        <v>168</v>
      </c>
      <c r="F34" s="144" t="s">
        <v>201</v>
      </c>
      <c r="G34" s="144" t="s">
        <v>170</v>
      </c>
      <c r="H34" s="229" t="s">
        <v>211</v>
      </c>
      <c r="I34" s="144" t="s">
        <v>172</v>
      </c>
      <c r="J34" s="144" t="s">
        <v>208</v>
      </c>
      <c r="K34" s="161" t="s">
        <v>202</v>
      </c>
      <c r="L34" s="201" t="s">
        <v>200</v>
      </c>
      <c r="M34" s="145" t="s">
        <v>175</v>
      </c>
      <c r="N34" s="143" t="s">
        <v>166</v>
      </c>
      <c r="O34" s="143" t="s">
        <v>167</v>
      </c>
      <c r="P34" s="143" t="s">
        <v>168</v>
      </c>
      <c r="Q34" s="144" t="s">
        <v>176</v>
      </c>
      <c r="R34" s="144" t="s">
        <v>170</v>
      </c>
      <c r="S34" s="229" t="s">
        <v>203</v>
      </c>
      <c r="T34" s="144" t="s">
        <v>180</v>
      </c>
      <c r="U34" s="144" t="s">
        <v>222</v>
      </c>
      <c r="V34" s="161" t="s">
        <v>204</v>
      </c>
    </row>
    <row r="35" spans="2:23" x14ac:dyDescent="0.25">
      <c r="B35" s="200">
        <v>1</v>
      </c>
      <c r="C35" s="202">
        <v>43739</v>
      </c>
      <c r="D35" s="203">
        <v>44104.25</v>
      </c>
      <c r="E35" s="203">
        <v>44104.25</v>
      </c>
      <c r="F35" s="204">
        <v>1</v>
      </c>
      <c r="G35" s="205">
        <v>1000000</v>
      </c>
      <c r="H35" s="234">
        <f ca="1">ParRate4Y</f>
        <v>1.6036000000000002E-2</v>
      </c>
      <c r="I35" s="204">
        <v>1</v>
      </c>
      <c r="J35" s="242">
        <f ca="1">DiscountFactor1Y</f>
        <v>1</v>
      </c>
      <c r="K35" s="210">
        <f t="shared" ref="K35:K38" ca="1" si="5">G35*H35*I35*J35</f>
        <v>16036.000000000002</v>
      </c>
      <c r="L35" s="201">
        <v>1</v>
      </c>
      <c r="M35" s="202">
        <v>43739</v>
      </c>
      <c r="N35" s="203">
        <v>43739</v>
      </c>
      <c r="O35" s="203">
        <v>44104.25</v>
      </c>
      <c r="P35" s="203">
        <v>44104.25</v>
      </c>
      <c r="Q35" s="204">
        <v>1</v>
      </c>
      <c r="R35" s="205">
        <v>1000000</v>
      </c>
      <c r="S35" s="236">
        <f ca="1">$S$20</f>
        <v>1.7891899999999999E-2</v>
      </c>
      <c r="T35" s="204">
        <v>1</v>
      </c>
      <c r="U35" s="242">
        <f ca="1">DiscountFactor1Y</f>
        <v>1</v>
      </c>
      <c r="V35" s="162">
        <f t="shared" ref="V35:V38" ca="1" si="6">R35*S35*T35*U35</f>
        <v>17891.899999999998</v>
      </c>
      <c r="W35" s="179" t="s">
        <v>213</v>
      </c>
    </row>
    <row r="36" spans="2:23" x14ac:dyDescent="0.25">
      <c r="B36" s="200">
        <v>2</v>
      </c>
      <c r="C36" s="206">
        <v>44104.25</v>
      </c>
      <c r="D36" s="207">
        <v>44469.5</v>
      </c>
      <c r="E36" s="207">
        <v>44469.5</v>
      </c>
      <c r="F36" s="208">
        <v>2</v>
      </c>
      <c r="G36" s="209">
        <v>1000000</v>
      </c>
      <c r="H36" s="235">
        <f ca="1">ParRate4Y</f>
        <v>1.6036000000000002E-2</v>
      </c>
      <c r="I36" s="208">
        <v>1</v>
      </c>
      <c r="J36" s="243">
        <f ca="1">DiscountFactor2Y</f>
        <v>1</v>
      </c>
      <c r="K36" s="211">
        <f t="shared" ca="1" si="5"/>
        <v>16036.000000000002</v>
      </c>
      <c r="L36" s="201">
        <v>2</v>
      </c>
      <c r="M36" s="206">
        <v>44104.25</v>
      </c>
      <c r="N36" s="207">
        <v>44104.25</v>
      </c>
      <c r="O36" s="207">
        <v>44469.5</v>
      </c>
      <c r="P36" s="207">
        <v>44469.5</v>
      </c>
      <c r="Q36" s="208">
        <v>2</v>
      </c>
      <c r="R36" s="209">
        <v>1000000</v>
      </c>
      <c r="S36" s="237">
        <f ca="1">$S$25</f>
        <v>1.1297500000000004E-2</v>
      </c>
      <c r="T36" s="208">
        <v>1</v>
      </c>
      <c r="U36" s="243">
        <f ca="1">DiscountFactor2Y</f>
        <v>1</v>
      </c>
      <c r="V36" s="163">
        <f t="shared" ca="1" si="6"/>
        <v>11297.500000000004</v>
      </c>
      <c r="W36" s="179" t="s">
        <v>213</v>
      </c>
    </row>
    <row r="37" spans="2:23" x14ac:dyDescent="0.25">
      <c r="B37" s="200">
        <v>3</v>
      </c>
      <c r="C37" s="206">
        <v>44469.5</v>
      </c>
      <c r="D37" s="207">
        <v>44834.75</v>
      </c>
      <c r="E37" s="207">
        <v>44834.75</v>
      </c>
      <c r="F37" s="208">
        <v>3</v>
      </c>
      <c r="G37" s="209">
        <v>1000000</v>
      </c>
      <c r="H37" s="235">
        <f ca="1">ParRate4Y</f>
        <v>1.6036000000000002E-2</v>
      </c>
      <c r="I37" s="208">
        <v>1</v>
      </c>
      <c r="J37" s="243">
        <f ca="1">DiscountFactor3Y</f>
        <v>1</v>
      </c>
      <c r="K37" s="211">
        <f t="shared" ca="1" si="5"/>
        <v>16036.000000000002</v>
      </c>
      <c r="L37" s="201">
        <v>3</v>
      </c>
      <c r="M37" s="206">
        <v>44469.5</v>
      </c>
      <c r="N37" s="207">
        <v>44469.5</v>
      </c>
      <c r="O37" s="207">
        <v>44834.75</v>
      </c>
      <c r="P37" s="207">
        <v>44834.75</v>
      </c>
      <c r="Q37" s="208">
        <v>3</v>
      </c>
      <c r="R37" s="209">
        <v>1000000</v>
      </c>
      <c r="S37" s="237">
        <f ca="1">$S$31</f>
        <v>1.6389599999999997E-2</v>
      </c>
      <c r="T37" s="208">
        <v>1</v>
      </c>
      <c r="U37" s="243">
        <f ca="1">DiscountFactor3Y</f>
        <v>1</v>
      </c>
      <c r="V37" s="163">
        <f t="shared" ca="1" si="6"/>
        <v>16389.599999999999</v>
      </c>
      <c r="W37" s="179" t="s">
        <v>213</v>
      </c>
    </row>
    <row r="38" spans="2:23" x14ac:dyDescent="0.25">
      <c r="B38" s="200">
        <v>4</v>
      </c>
      <c r="C38" s="212">
        <v>44834.75</v>
      </c>
      <c r="D38" s="213">
        <v>45200</v>
      </c>
      <c r="E38" s="213">
        <v>45200</v>
      </c>
      <c r="F38" s="214">
        <v>4</v>
      </c>
      <c r="G38" s="215">
        <v>1000000</v>
      </c>
      <c r="H38" s="241">
        <f ca="1">ParRate4Y</f>
        <v>1.6036000000000002E-2</v>
      </c>
      <c r="I38" s="214">
        <v>1</v>
      </c>
      <c r="J38" s="240">
        <f ca="1">DiscountFactor4Y</f>
        <v>1</v>
      </c>
      <c r="K38" s="216">
        <f t="shared" ca="1" si="5"/>
        <v>16036.000000000002</v>
      </c>
      <c r="L38" s="201">
        <v>4</v>
      </c>
      <c r="M38" s="212">
        <v>44834.75</v>
      </c>
      <c r="N38" s="213">
        <v>44834.75</v>
      </c>
      <c r="O38" s="213">
        <v>45200</v>
      </c>
      <c r="P38" s="213">
        <v>45200</v>
      </c>
      <c r="Q38" s="214">
        <v>4</v>
      </c>
      <c r="R38" s="215">
        <v>1000000</v>
      </c>
      <c r="S38" s="233">
        <f ca="1">($K$33-SUM($V$35:V37))/(R38*T38*U38)</f>
        <v>1.8565000000000009E-2</v>
      </c>
      <c r="T38" s="214">
        <v>1</v>
      </c>
      <c r="U38" s="240">
        <f ca="1">DiscountFactor4Y</f>
        <v>1</v>
      </c>
      <c r="V38" s="164">
        <f t="shared" ca="1" si="6"/>
        <v>18565.000000000007</v>
      </c>
      <c r="W38" s="228" t="s">
        <v>212</v>
      </c>
    </row>
    <row r="39" spans="2:23" x14ac:dyDescent="0.25">
      <c r="H39" s="230"/>
      <c r="S39" s="230"/>
    </row>
    <row r="40" spans="2:23" x14ac:dyDescent="0.25">
      <c r="B40" s="44"/>
      <c r="C40" s="140" t="s">
        <v>206</v>
      </c>
      <c r="D40" s="44"/>
      <c r="E40" s="44"/>
      <c r="F40" s="44"/>
      <c r="G40" s="44"/>
      <c r="H40" s="231"/>
      <c r="I40" s="141"/>
      <c r="J40" s="141" t="s">
        <v>205</v>
      </c>
      <c r="K40" s="227">
        <f ca="1">SUM(K42:K46)</f>
        <v>82940</v>
      </c>
      <c r="L40" s="44"/>
      <c r="M40" s="140" t="s">
        <v>207</v>
      </c>
      <c r="N40" s="44"/>
      <c r="O40" s="44"/>
      <c r="P40" s="44"/>
      <c r="Q40" s="44"/>
      <c r="R40" s="44"/>
      <c r="S40" s="232"/>
      <c r="T40" s="44"/>
      <c r="U40" s="141" t="s">
        <v>205</v>
      </c>
      <c r="V40" s="227">
        <f ca="1">SUM(V42:V46)</f>
        <v>82940</v>
      </c>
    </row>
    <row r="41" spans="2:23" ht="18" x14ac:dyDescent="0.25">
      <c r="B41" s="200" t="s">
        <v>200</v>
      </c>
      <c r="C41" s="142" t="s">
        <v>166</v>
      </c>
      <c r="D41" s="143" t="s">
        <v>167</v>
      </c>
      <c r="E41" s="143" t="s">
        <v>168</v>
      </c>
      <c r="F41" s="144" t="s">
        <v>201</v>
      </c>
      <c r="G41" s="144" t="s">
        <v>170</v>
      </c>
      <c r="H41" s="229" t="s">
        <v>211</v>
      </c>
      <c r="I41" s="144" t="s">
        <v>172</v>
      </c>
      <c r="J41" s="144" t="s">
        <v>208</v>
      </c>
      <c r="K41" s="161" t="s">
        <v>202</v>
      </c>
      <c r="L41" s="201" t="s">
        <v>200</v>
      </c>
      <c r="M41" s="145" t="s">
        <v>175</v>
      </c>
      <c r="N41" s="143" t="s">
        <v>166</v>
      </c>
      <c r="O41" s="143" t="s">
        <v>167</v>
      </c>
      <c r="P41" s="143" t="s">
        <v>168</v>
      </c>
      <c r="Q41" s="144" t="s">
        <v>176</v>
      </c>
      <c r="R41" s="144" t="s">
        <v>170</v>
      </c>
      <c r="S41" s="229" t="s">
        <v>203</v>
      </c>
      <c r="T41" s="144" t="s">
        <v>180</v>
      </c>
      <c r="U41" s="144" t="s">
        <v>222</v>
      </c>
      <c r="V41" s="161" t="s">
        <v>204</v>
      </c>
    </row>
    <row r="42" spans="2:23" x14ac:dyDescent="0.25">
      <c r="B42" s="200">
        <v>1</v>
      </c>
      <c r="C42" s="202">
        <v>43739</v>
      </c>
      <c r="D42" s="203">
        <v>44104.25</v>
      </c>
      <c r="E42" s="203">
        <v>44104.25</v>
      </c>
      <c r="F42" s="204">
        <v>1</v>
      </c>
      <c r="G42" s="205">
        <v>1000000</v>
      </c>
      <c r="H42" s="234">
        <f ca="1">ParRate5Y</f>
        <v>1.6587999999999999E-2</v>
      </c>
      <c r="I42" s="204">
        <v>1</v>
      </c>
      <c r="J42" s="242">
        <f ca="1">DiscountFactor1Y</f>
        <v>1</v>
      </c>
      <c r="K42" s="210">
        <f t="shared" ref="K42:K46" ca="1" si="7">G42*H42*I42*J42</f>
        <v>16588</v>
      </c>
      <c r="L42" s="201">
        <v>1</v>
      </c>
      <c r="M42" s="202">
        <v>43739</v>
      </c>
      <c r="N42" s="203">
        <v>43739</v>
      </c>
      <c r="O42" s="203">
        <v>44104.25</v>
      </c>
      <c r="P42" s="203">
        <v>44104.25</v>
      </c>
      <c r="Q42" s="204">
        <v>1</v>
      </c>
      <c r="R42" s="205">
        <v>1000000</v>
      </c>
      <c r="S42" s="236">
        <f ca="1">$S$20</f>
        <v>1.7891899999999999E-2</v>
      </c>
      <c r="T42" s="204">
        <v>1</v>
      </c>
      <c r="U42" s="242">
        <f ca="1">DiscountFactor1Y</f>
        <v>1</v>
      </c>
      <c r="V42" s="162">
        <f t="shared" ref="V42:V46" ca="1" si="8">R42*S42*T42*U42</f>
        <v>17891.899999999998</v>
      </c>
      <c r="W42" s="179" t="s">
        <v>213</v>
      </c>
    </row>
    <row r="43" spans="2:23" x14ac:dyDescent="0.25">
      <c r="B43" s="200">
        <v>2</v>
      </c>
      <c r="C43" s="206">
        <v>44104.25</v>
      </c>
      <c r="D43" s="207">
        <v>44469.5</v>
      </c>
      <c r="E43" s="207">
        <v>44469.5</v>
      </c>
      <c r="F43" s="208">
        <v>2</v>
      </c>
      <c r="G43" s="209">
        <v>1000000</v>
      </c>
      <c r="H43" s="235">
        <f ca="1">ParRate5Y</f>
        <v>1.6587999999999999E-2</v>
      </c>
      <c r="I43" s="208">
        <v>1</v>
      </c>
      <c r="J43" s="243">
        <f ca="1">DiscountFactor2Y</f>
        <v>1</v>
      </c>
      <c r="K43" s="211">
        <f t="shared" ca="1" si="7"/>
        <v>16588</v>
      </c>
      <c r="L43" s="201">
        <v>2</v>
      </c>
      <c r="M43" s="206">
        <v>44104.25</v>
      </c>
      <c r="N43" s="207">
        <v>44104.25</v>
      </c>
      <c r="O43" s="207">
        <v>44469.5</v>
      </c>
      <c r="P43" s="207">
        <v>44469.5</v>
      </c>
      <c r="Q43" s="208">
        <v>2</v>
      </c>
      <c r="R43" s="209">
        <v>1000000</v>
      </c>
      <c r="S43" s="237">
        <f ca="1">$S$25</f>
        <v>1.1297500000000004E-2</v>
      </c>
      <c r="T43" s="208">
        <v>1</v>
      </c>
      <c r="U43" s="243">
        <f ca="1">DiscountFactor2Y</f>
        <v>1</v>
      </c>
      <c r="V43" s="163">
        <f t="shared" ca="1" si="8"/>
        <v>11297.500000000004</v>
      </c>
      <c r="W43" s="179" t="s">
        <v>213</v>
      </c>
    </row>
    <row r="44" spans="2:23" x14ac:dyDescent="0.25">
      <c r="B44" s="200">
        <v>3</v>
      </c>
      <c r="C44" s="206">
        <v>44469.5</v>
      </c>
      <c r="D44" s="207">
        <v>44834.75</v>
      </c>
      <c r="E44" s="207">
        <v>44834.75</v>
      </c>
      <c r="F44" s="208">
        <v>3</v>
      </c>
      <c r="G44" s="209">
        <v>1000000</v>
      </c>
      <c r="H44" s="235">
        <f ca="1">ParRate5Y</f>
        <v>1.6587999999999999E-2</v>
      </c>
      <c r="I44" s="208">
        <v>1</v>
      </c>
      <c r="J44" s="243">
        <f ca="1">DiscountFactor3Y</f>
        <v>1</v>
      </c>
      <c r="K44" s="211">
        <f t="shared" ca="1" si="7"/>
        <v>16588</v>
      </c>
      <c r="L44" s="201">
        <v>3</v>
      </c>
      <c r="M44" s="206">
        <v>44469.5</v>
      </c>
      <c r="N44" s="207">
        <v>44469.5</v>
      </c>
      <c r="O44" s="207">
        <v>44834.75</v>
      </c>
      <c r="P44" s="207">
        <v>44834.75</v>
      </c>
      <c r="Q44" s="208">
        <v>3</v>
      </c>
      <c r="R44" s="209">
        <v>1000000</v>
      </c>
      <c r="S44" s="237">
        <f ca="1">$S$31</f>
        <v>1.6389599999999997E-2</v>
      </c>
      <c r="T44" s="208">
        <v>1</v>
      </c>
      <c r="U44" s="243">
        <f ca="1">DiscountFactor3Y</f>
        <v>1</v>
      </c>
      <c r="V44" s="163">
        <f t="shared" ca="1" si="8"/>
        <v>16389.599999999999</v>
      </c>
      <c r="W44" s="179" t="s">
        <v>213</v>
      </c>
    </row>
    <row r="45" spans="2:23" x14ac:dyDescent="0.25">
      <c r="B45" s="200">
        <v>4</v>
      </c>
      <c r="C45" s="206">
        <v>44834.75</v>
      </c>
      <c r="D45" s="207">
        <v>45200</v>
      </c>
      <c r="E45" s="207">
        <v>45200</v>
      </c>
      <c r="F45" s="208">
        <v>4</v>
      </c>
      <c r="G45" s="209">
        <v>1000000</v>
      </c>
      <c r="H45" s="235">
        <f ca="1">ParRate5Y</f>
        <v>1.6587999999999999E-2</v>
      </c>
      <c r="I45" s="208">
        <v>1</v>
      </c>
      <c r="J45" s="243">
        <f ca="1">DiscountFactor4Y</f>
        <v>1</v>
      </c>
      <c r="K45" s="211">
        <f t="shared" ca="1" si="7"/>
        <v>16588</v>
      </c>
      <c r="L45" s="201">
        <v>4</v>
      </c>
      <c r="M45" s="206">
        <v>44834.75</v>
      </c>
      <c r="N45" s="207">
        <v>44834.75</v>
      </c>
      <c r="O45" s="207">
        <v>45200</v>
      </c>
      <c r="P45" s="207">
        <v>45200</v>
      </c>
      <c r="Q45" s="208">
        <v>4</v>
      </c>
      <c r="R45" s="209">
        <v>1000000</v>
      </c>
      <c r="S45" s="237">
        <f ca="1">$S$38</f>
        <v>1.8565000000000009E-2</v>
      </c>
      <c r="T45" s="208">
        <v>1</v>
      </c>
      <c r="U45" s="243">
        <f ca="1">DiscountFactor4Y</f>
        <v>1</v>
      </c>
      <c r="V45" s="163">
        <f t="shared" ca="1" si="8"/>
        <v>18565.000000000007</v>
      </c>
      <c r="W45" s="179" t="s">
        <v>213</v>
      </c>
    </row>
    <row r="46" spans="2:23" x14ac:dyDescent="0.25">
      <c r="B46" s="200">
        <v>5</v>
      </c>
      <c r="C46" s="212">
        <v>45200</v>
      </c>
      <c r="D46" s="213">
        <v>45565.25</v>
      </c>
      <c r="E46" s="213">
        <v>45565.25</v>
      </c>
      <c r="F46" s="214">
        <v>5</v>
      </c>
      <c r="G46" s="215">
        <v>1000000</v>
      </c>
      <c r="H46" s="241">
        <f ca="1">ParRate5Y</f>
        <v>1.6587999999999999E-2</v>
      </c>
      <c r="I46" s="214">
        <v>1</v>
      </c>
      <c r="J46" s="240">
        <f ca="1">DiscountFactor5Y</f>
        <v>1</v>
      </c>
      <c r="K46" s="216">
        <f t="shared" ca="1" si="7"/>
        <v>16588</v>
      </c>
      <c r="L46" s="201">
        <v>5</v>
      </c>
      <c r="M46" s="212">
        <v>45200</v>
      </c>
      <c r="N46" s="213">
        <v>45200</v>
      </c>
      <c r="O46" s="213">
        <v>45565.25</v>
      </c>
      <c r="P46" s="213">
        <v>45565.25</v>
      </c>
      <c r="Q46" s="214">
        <v>5</v>
      </c>
      <c r="R46" s="215">
        <v>1000000</v>
      </c>
      <c r="S46" s="233">
        <f ca="1">($K$40-SUM($V$42:V45))/(R46*T46*U46)</f>
        <v>1.8795999999999993E-2</v>
      </c>
      <c r="T46" s="214">
        <v>1</v>
      </c>
      <c r="U46" s="240">
        <f ca="1">DiscountFactor5Y</f>
        <v>1</v>
      </c>
      <c r="V46" s="164">
        <f t="shared" ca="1" si="8"/>
        <v>18795.999999999993</v>
      </c>
      <c r="W46" s="228" t="s">
        <v>212</v>
      </c>
    </row>
    <row r="75" spans="7:7" x14ac:dyDescent="0.25">
      <c r="G75" s="238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"/>
  <sheetViews>
    <sheetView showGridLines="0" workbookViewId="0"/>
  </sheetViews>
  <sheetFormatPr defaultRowHeight="15" outlineLevelCol="1" x14ac:dyDescent="0.25"/>
  <cols>
    <col min="1" max="1" width="4.7109375" customWidth="1"/>
    <col min="2" max="2" width="13.7109375" customWidth="1"/>
    <col min="3" max="3" width="4.7109375" customWidth="1"/>
    <col min="4" max="4" width="9.140625" customWidth="1"/>
    <col min="5" max="7" width="9.7109375" customWidth="1"/>
    <col min="8" max="8" width="18.5703125" bestFit="1" customWidth="1"/>
    <col min="9" max="9" width="4.7109375" customWidth="1"/>
    <col min="11" max="15" width="6.7109375" customWidth="1"/>
    <col min="16" max="16" width="9.140625" customWidth="1"/>
    <col min="17" max="21" width="12" customWidth="1"/>
    <col min="23" max="38" width="9.140625" hidden="1" customWidth="1" outlineLevel="1"/>
    <col min="39" max="39" width="9.140625" collapsed="1"/>
    <col min="40" max="54" width="9.140625" hidden="1" customWidth="1" outlineLevel="1"/>
    <col min="55" max="55" width="9.140625" collapsed="1"/>
    <col min="56" max="69" width="9.140625" hidden="1" customWidth="1" outlineLevel="1"/>
    <col min="70" max="70" width="16.5703125" bestFit="1" customWidth="1" collapsed="1"/>
    <col min="74" max="74" width="10.140625" bestFit="1" customWidth="1"/>
  </cols>
  <sheetData>
    <row r="1" spans="2:70" x14ac:dyDescent="0.25">
      <c r="AM1" s="92" t="s">
        <v>291</v>
      </c>
      <c r="BC1" s="92" t="s">
        <v>292</v>
      </c>
      <c r="BE1" s="280"/>
      <c r="BR1" s="38" t="s">
        <v>299</v>
      </c>
    </row>
    <row r="2" spans="2:70" x14ac:dyDescent="0.25">
      <c r="D2" s="331" t="s">
        <v>333</v>
      </c>
      <c r="G2" s="331" t="s">
        <v>311</v>
      </c>
      <c r="J2" s="331" t="s">
        <v>313</v>
      </c>
      <c r="AM2" s="92"/>
      <c r="BC2" s="92"/>
      <c r="BE2" s="280"/>
      <c r="BR2" s="38"/>
    </row>
    <row r="3" spans="2:70" ht="18" x14ac:dyDescent="0.35">
      <c r="B3" t="s">
        <v>310</v>
      </c>
      <c r="D3" s="33" t="s">
        <v>283</v>
      </c>
      <c r="G3" s="33" t="s">
        <v>312</v>
      </c>
      <c r="W3" s="179" t="s">
        <v>290</v>
      </c>
      <c r="AN3" s="179" t="s">
        <v>285</v>
      </c>
      <c r="AO3" s="2"/>
      <c r="BE3" s="280" t="s">
        <v>282</v>
      </c>
    </row>
    <row r="4" spans="2:70" x14ac:dyDescent="0.25">
      <c r="B4" s="318">
        <v>0.02</v>
      </c>
      <c r="D4" s="305" t="s">
        <v>2</v>
      </c>
      <c r="E4" s="306">
        <v>1.7335699999999999E-2</v>
      </c>
      <c r="F4" s="1"/>
      <c r="G4" s="305" t="s">
        <v>2</v>
      </c>
      <c r="H4" s="311">
        <v>0.985846</v>
      </c>
      <c r="AN4" s="2"/>
      <c r="AO4" s="2"/>
    </row>
    <row r="5" spans="2:70" x14ac:dyDescent="0.25">
      <c r="B5" s="319">
        <v>0.02</v>
      </c>
      <c r="D5" s="307" t="s">
        <v>3</v>
      </c>
      <c r="E5" s="308">
        <v>1.6080000000000001E-2</v>
      </c>
      <c r="F5" s="1"/>
      <c r="G5" s="307" t="s">
        <v>3</v>
      </c>
      <c r="H5" s="312">
        <v>0.97381099999999998</v>
      </c>
      <c r="AN5" s="2"/>
      <c r="AO5" s="2"/>
    </row>
    <row r="6" spans="2:70" ht="18" x14ac:dyDescent="0.35">
      <c r="B6" s="319">
        <v>0.02</v>
      </c>
      <c r="D6" s="307" t="s">
        <v>117</v>
      </c>
      <c r="E6" s="308">
        <v>1.5663199999999999E-2</v>
      </c>
      <c r="F6" s="1"/>
      <c r="G6" s="307" t="s">
        <v>117</v>
      </c>
      <c r="H6" s="312">
        <v>0.96174499999999996</v>
      </c>
      <c r="J6" t="s">
        <v>328</v>
      </c>
      <c r="AN6" s="2"/>
      <c r="AO6" s="2"/>
    </row>
    <row r="7" spans="2:70" ht="19.5" x14ac:dyDescent="0.35">
      <c r="B7" s="319">
        <v>0.02</v>
      </c>
      <c r="D7" s="307" t="s">
        <v>27</v>
      </c>
      <c r="E7" s="308">
        <v>1.55438E-2</v>
      </c>
      <c r="F7" s="1"/>
      <c r="G7" s="307" t="s">
        <v>27</v>
      </c>
      <c r="H7" s="312">
        <v>0.94934399999999997</v>
      </c>
      <c r="J7" t="s">
        <v>331</v>
      </c>
      <c r="Q7" s="371" t="s">
        <v>323</v>
      </c>
      <c r="AN7" s="2"/>
      <c r="AO7" s="2"/>
    </row>
    <row r="8" spans="2:70" x14ac:dyDescent="0.25">
      <c r="B8" s="320">
        <v>0.02</v>
      </c>
      <c r="D8" s="309" t="s">
        <v>4</v>
      </c>
      <c r="E8" s="310">
        <v>1.55978E-2</v>
      </c>
      <c r="F8" s="1"/>
      <c r="G8" s="309" t="s">
        <v>4</v>
      </c>
      <c r="H8" s="313">
        <v>0.93669100000000005</v>
      </c>
      <c r="AN8" s="2"/>
      <c r="AO8" s="2"/>
    </row>
    <row r="9" spans="2:70" ht="18.75" x14ac:dyDescent="0.25">
      <c r="J9" s="331" t="s">
        <v>322</v>
      </c>
      <c r="Q9" s="370" t="s">
        <v>325</v>
      </c>
      <c r="R9" s="1"/>
      <c r="S9" s="1"/>
      <c r="T9" s="1"/>
      <c r="U9" s="1"/>
      <c r="AN9" s="2"/>
      <c r="AO9" s="2"/>
    </row>
    <row r="10" spans="2:70" ht="18.75" x14ac:dyDescent="0.35">
      <c r="J10" s="33" t="s">
        <v>329</v>
      </c>
      <c r="Q10" s="369" t="s">
        <v>321</v>
      </c>
      <c r="R10" s="1"/>
      <c r="S10" s="1"/>
      <c r="T10" s="1"/>
      <c r="U10" s="1"/>
      <c r="AN10" s="2"/>
      <c r="AO10" s="2"/>
    </row>
    <row r="11" spans="2:70" x14ac:dyDescent="0.25">
      <c r="D11" s="13" t="s">
        <v>288</v>
      </c>
      <c r="H11" s="1"/>
      <c r="J11" s="282"/>
      <c r="K11" s="2"/>
      <c r="L11" s="2"/>
      <c r="M11" s="2"/>
      <c r="N11" s="1"/>
      <c r="Q11" s="1"/>
      <c r="R11" s="1"/>
      <c r="S11" s="1"/>
      <c r="T11" s="1"/>
      <c r="U11" s="1"/>
      <c r="AN11" s="2"/>
      <c r="AO11" s="2"/>
    </row>
    <row r="12" spans="2:70" ht="18" x14ac:dyDescent="0.25">
      <c r="D12" s="13"/>
      <c r="H12" s="1"/>
      <c r="K12" s="1" t="s">
        <v>294</v>
      </c>
      <c r="L12" s="1" t="s">
        <v>295</v>
      </c>
      <c r="M12" s="1" t="s">
        <v>296</v>
      </c>
      <c r="N12" s="1" t="s">
        <v>297</v>
      </c>
      <c r="O12" s="1" t="s">
        <v>298</v>
      </c>
      <c r="P12" s="1"/>
      <c r="Q12" s="372" t="s">
        <v>137</v>
      </c>
      <c r="R12" s="373" t="s">
        <v>315</v>
      </c>
      <c r="S12" s="373" t="s">
        <v>316</v>
      </c>
      <c r="T12" s="373" t="s">
        <v>314</v>
      </c>
      <c r="U12" s="374" t="s">
        <v>317</v>
      </c>
      <c r="AN12" s="2"/>
      <c r="AO12" s="2"/>
    </row>
    <row r="13" spans="2:70" ht="18" x14ac:dyDescent="0.25">
      <c r="D13" s="1" t="s">
        <v>293</v>
      </c>
      <c r="E13" s="1" t="s">
        <v>309</v>
      </c>
      <c r="F13" s="1" t="s">
        <v>308</v>
      </c>
      <c r="G13" s="1" t="s">
        <v>307</v>
      </c>
      <c r="H13" s="283" t="s">
        <v>289</v>
      </c>
      <c r="J13" s="1" t="s">
        <v>301</v>
      </c>
      <c r="K13" s="321">
        <f ca="1">$H4/SUM($H$4:$H4)</f>
        <v>1</v>
      </c>
      <c r="L13" s="322">
        <v>0</v>
      </c>
      <c r="M13" s="322">
        <v>0</v>
      </c>
      <c r="N13" s="322">
        <v>0</v>
      </c>
      <c r="O13" s="323">
        <v>0</v>
      </c>
      <c r="P13" s="1"/>
      <c r="Q13" s="337" t="s">
        <v>2</v>
      </c>
      <c r="R13" s="333">
        <v>1E-4</v>
      </c>
      <c r="S13" s="340">
        <f t="array" aca="1" ref="S13:S17" ca="1">MMULT(K13:O17,R13:R17)</f>
        <v>1E-4</v>
      </c>
      <c r="T13" s="341">
        <f ca="1">1000000*SUM($H$4:H4)</f>
        <v>985846</v>
      </c>
      <c r="U13" s="342">
        <f t="shared" ref="U13" ca="1" si="0">S13*T13</f>
        <v>98.584600000000009</v>
      </c>
      <c r="AN13" s="2"/>
      <c r="AO13" s="2"/>
    </row>
    <row r="14" spans="2:70" ht="18" x14ac:dyDescent="0.25">
      <c r="D14" s="285">
        <v>1</v>
      </c>
      <c r="E14" s="286">
        <f t="array" aca="1" ref="E14:E18" ca="1">F14:F18-MMULT($K$24:$O$28,G14:G18)</f>
        <v>1.7335699999999999E-2</v>
      </c>
      <c r="F14" s="293">
        <f t="shared" ref="F14:F18" ca="1" si="1">B4</f>
        <v>0.02</v>
      </c>
      <c r="G14" s="286">
        <f ca="1">SUMPRODUCT(F14:F14,$H$4:$H$4)/SUM($H$4:$H$4)-$E$4</f>
        <v>2.6643000000000014E-3</v>
      </c>
      <c r="H14" s="287">
        <f t="shared" ref="H14:H38" ca="1" si="2">E14-F14</f>
        <v>-2.6643000000000014E-3</v>
      </c>
      <c r="J14" s="1" t="s">
        <v>302</v>
      </c>
      <c r="K14" s="324">
        <f ca="1">$H$5/SUM($H$4:$H5)</f>
        <v>0.4969293095679499</v>
      </c>
      <c r="L14" s="325">
        <f ca="1">$H$5/SUM($H$4:$H5)</f>
        <v>0.4969293095679499</v>
      </c>
      <c r="M14" s="326">
        <v>0</v>
      </c>
      <c r="N14" s="326">
        <v>0</v>
      </c>
      <c r="O14" s="327">
        <v>0</v>
      </c>
      <c r="P14" s="1"/>
      <c r="Q14" s="338" t="s">
        <v>3</v>
      </c>
      <c r="R14" s="334">
        <v>1E-4</v>
      </c>
      <c r="S14" s="343">
        <f ca="1"/>
        <v>9.9385861913589977E-5</v>
      </c>
      <c r="T14" s="344">
        <f ca="1">1000000*SUM($H$4:H5)</f>
        <v>1959657</v>
      </c>
      <c r="U14" s="345">
        <f ca="1">S14*T14</f>
        <v>194.76220000000001</v>
      </c>
      <c r="AN14" s="2"/>
      <c r="AO14" s="2"/>
    </row>
    <row r="15" spans="2:70" ht="18" x14ac:dyDescent="0.25">
      <c r="D15" s="288"/>
      <c r="E15" s="284">
        <f ca="1"/>
        <v>1.4775854048988974E-2</v>
      </c>
      <c r="F15" s="294">
        <f t="shared" ca="1" si="1"/>
        <v>0.02</v>
      </c>
      <c r="G15" s="284">
        <f ca="1">SUMPRODUCT(F14:F15,$H$4:$H$5)/SUM($H$4:$H$5)-$E$5</f>
        <v>3.9199999999999999E-3</v>
      </c>
      <c r="H15" s="289">
        <f t="shared" ca="1" si="2"/>
        <v>-5.2241459510110264E-3</v>
      </c>
      <c r="J15" s="1" t="s">
        <v>303</v>
      </c>
      <c r="K15" s="324">
        <f ca="1">$H$5/SUM($H$4:$H6)</f>
        <v>0.33333687044781923</v>
      </c>
      <c r="L15" s="326">
        <f ca="1">$H$5/SUM($H$4:$H6)</f>
        <v>0.33333687044781923</v>
      </c>
      <c r="M15" s="326">
        <f ca="1">$H$6/SUM($H$4:$H6)</f>
        <v>0.32920666173296242</v>
      </c>
      <c r="N15" s="326">
        <v>0</v>
      </c>
      <c r="O15" s="327">
        <v>0</v>
      </c>
      <c r="P15" s="1"/>
      <c r="Q15" s="338" t="s">
        <v>117</v>
      </c>
      <c r="R15" s="334">
        <v>1E-4</v>
      </c>
      <c r="S15" s="343">
        <f ca="1"/>
        <v>9.9588040262860099E-5</v>
      </c>
      <c r="T15" s="344">
        <f ca="1">1000000*SUM($H$4:H6)</f>
        <v>2921402</v>
      </c>
      <c r="U15" s="345">
        <f ca="1">S15*T15</f>
        <v>290.93670000000003</v>
      </c>
      <c r="V15" s="119"/>
      <c r="AN15" s="2"/>
      <c r="AO15" s="2"/>
    </row>
    <row r="16" spans="2:70" ht="18" x14ac:dyDescent="0.25">
      <c r="D16" s="288"/>
      <c r="E16" s="284">
        <f ca="1"/>
        <v>1.4813925984954426E-2</v>
      </c>
      <c r="F16" s="294">
        <f t="shared" ca="1" si="1"/>
        <v>0.02</v>
      </c>
      <c r="G16" s="284">
        <f ca="1">SUMPRODUCT(F14:F16,$H$4:$H$6)/SUM($H$4:$H$6)-$E$6</f>
        <v>4.3368000000000018E-3</v>
      </c>
      <c r="H16" s="289">
        <f t="shared" ca="1" si="2"/>
        <v>-5.1860740150455747E-3</v>
      </c>
      <c r="J16" s="1" t="s">
        <v>304</v>
      </c>
      <c r="K16" s="324">
        <f ca="1">$H$5/SUM($H$4:$H7)</f>
        <v>0.25158225313673382</v>
      </c>
      <c r="L16" s="326">
        <f ca="1">$H$5/SUM($H$4:$H7)</f>
        <v>0.25158225313673382</v>
      </c>
      <c r="M16" s="326">
        <f ca="1">$H$6/SUM($H$4:$H7)</f>
        <v>0.24846502457149086</v>
      </c>
      <c r="N16" s="326">
        <f ca="1">$H$7/SUM($H$4:$H7)</f>
        <v>0.24526124938190208</v>
      </c>
      <c r="O16" s="327">
        <v>0</v>
      </c>
      <c r="P16" s="1"/>
      <c r="Q16" s="338" t="s">
        <v>27</v>
      </c>
      <c r="R16" s="334">
        <v>1E-4</v>
      </c>
      <c r="S16" s="343">
        <f ca="1"/>
        <v>9.9689078022686064E-5</v>
      </c>
      <c r="T16" s="344">
        <f ca="1">1000000*SUM($H$4:H7)</f>
        <v>3870746</v>
      </c>
      <c r="U16" s="345">
        <f ca="1">S16*T16</f>
        <v>385.87110000000001</v>
      </c>
      <c r="V16" s="119"/>
      <c r="AN16" s="2"/>
      <c r="AO16" s="2"/>
    </row>
    <row r="17" spans="2:41" ht="18" x14ac:dyDescent="0.25">
      <c r="D17" s="288"/>
      <c r="E17" s="284">
        <f ca="1"/>
        <v>1.5176372177419363E-2</v>
      </c>
      <c r="F17" s="294">
        <f t="shared" ca="1" si="1"/>
        <v>0.02</v>
      </c>
      <c r="G17" s="284">
        <f ca="1">SUMPRODUCT(F14:F17,$H$4:$H$7)/SUM($H$4:$H$7)-$E$7</f>
        <v>4.4562000000000004E-3</v>
      </c>
      <c r="H17" s="289">
        <f t="shared" ca="1" si="2"/>
        <v>-4.8236278225806378E-3</v>
      </c>
      <c r="J17" s="1" t="s">
        <v>305</v>
      </c>
      <c r="K17" s="328">
        <f ca="1">$H$5/SUM($H$4:$H8)</f>
        <v>0.20256344492917952</v>
      </c>
      <c r="L17" s="329">
        <f ca="1">$H$5/SUM($H$4:$H8)</f>
        <v>0.20256344492917952</v>
      </c>
      <c r="M17" s="329">
        <f ca="1">$H$6/SUM($H$4:$H8)</f>
        <v>0.20005358364550591</v>
      </c>
      <c r="N17" s="329">
        <f ca="1">$H$7/SUM($H$4:$H8)</f>
        <v>0.19747403866134905</v>
      </c>
      <c r="O17" s="330">
        <f ca="1">$H$8/SUM($H$4:$H8)</f>
        <v>0.19484207489354516</v>
      </c>
      <c r="P17" s="1"/>
      <c r="Q17" s="339" t="s">
        <v>4</v>
      </c>
      <c r="R17" s="335">
        <v>1E-4</v>
      </c>
      <c r="S17" s="346">
        <f ca="1"/>
        <v>9.9749658705875933E-5</v>
      </c>
      <c r="T17" s="347">
        <f ca="1">1000000*SUM($H$4:H8)</f>
        <v>4807437</v>
      </c>
      <c r="U17" s="348">
        <f ca="1">S17*T17</f>
        <v>479.54020000000008</v>
      </c>
      <c r="V17" s="119"/>
      <c r="AN17" s="2"/>
      <c r="AO17" s="2"/>
    </row>
    <row r="18" spans="2:41" x14ac:dyDescent="0.25">
      <c r="D18" s="290"/>
      <c r="E18" s="291">
        <f ca="1"/>
        <v>1.5820947531042809E-2</v>
      </c>
      <c r="F18" s="295">
        <f t="shared" ca="1" si="1"/>
        <v>0.02</v>
      </c>
      <c r="G18" s="291">
        <f ca="1">SUMPRODUCT(F14:F18,$H$4:$H$8)/SUM($H$4:$H$8)-$E$8</f>
        <v>4.4021999999999967E-3</v>
      </c>
      <c r="H18" s="292">
        <f t="shared" ca="1" si="2"/>
        <v>-4.1790524689571916E-3</v>
      </c>
      <c r="P18" s="1"/>
      <c r="Q18" s="336" t="s">
        <v>327</v>
      </c>
      <c r="R18" s="1"/>
      <c r="S18" s="1"/>
      <c r="T18" s="1"/>
      <c r="U18" s="1"/>
      <c r="V18" s="119"/>
      <c r="AN18" s="2"/>
      <c r="AO18" s="2"/>
    </row>
    <row r="19" spans="2:41" x14ac:dyDescent="0.25">
      <c r="D19" s="285">
        <v>2</v>
      </c>
      <c r="E19" s="286">
        <f t="array" aca="1" ref="E19:E23" ca="1">F19:F23-MMULT($K$24:$O$28,G19:G23)</f>
        <v>1.7335699999999999E-2</v>
      </c>
      <c r="F19" s="293">
        <f t="shared" ref="F19:F38" ca="1" si="3">E14</f>
        <v>1.7335699999999999E-2</v>
      </c>
      <c r="G19" s="286">
        <f ca="1">SUMPRODUCT(F19:F19,$H$4:$H$4)/SUM($H$4:$H$4)-$E$4</f>
        <v>0</v>
      </c>
      <c r="H19" s="287">
        <f t="shared" ca="1" si="2"/>
        <v>0</v>
      </c>
      <c r="V19" s="119"/>
      <c r="AM19" s="6"/>
      <c r="AN19" s="2"/>
      <c r="AO19" s="2"/>
    </row>
    <row r="20" spans="2:41" x14ac:dyDescent="0.25">
      <c r="D20" s="288"/>
      <c r="E20" s="284">
        <f ca="1"/>
        <v>1.4808781229417206E-2</v>
      </c>
      <c r="F20" s="294">
        <f t="shared" ca="1" si="3"/>
        <v>1.4775854048988974E-2</v>
      </c>
      <c r="G20" s="284">
        <f ca="1">SUMPRODUCT(F19:F20,$H$4:$H$5)/SUM($H$4:$H$5)-$E$5</f>
        <v>-1.6362481036220206E-5</v>
      </c>
      <c r="H20" s="289">
        <f t="shared" ca="1" si="2"/>
        <v>3.2927180428231687E-5</v>
      </c>
      <c r="AN20" s="2"/>
      <c r="AO20" s="2"/>
    </row>
    <row r="21" spans="2:41" ht="18.75" x14ac:dyDescent="0.25">
      <c r="D21" s="288"/>
      <c r="E21" s="284">
        <f ca="1"/>
        <v>1.4813925984954429E-2</v>
      </c>
      <c r="F21" s="294">
        <f t="shared" ca="1" si="3"/>
        <v>1.4813925984954426E-2</v>
      </c>
      <c r="G21" s="284">
        <f ca="1">SUMPRODUCT(F19:F21,$H$4:$H$6)/SUM($H$4:$H$6)-$E$6</f>
        <v>-1.0975843276618547E-5</v>
      </c>
      <c r="H21" s="289">
        <f t="shared" ca="1" si="2"/>
        <v>0</v>
      </c>
      <c r="Q21" s="370" t="s">
        <v>326</v>
      </c>
    </row>
    <row r="22" spans="2:41" ht="20.25" x14ac:dyDescent="0.25">
      <c r="D22" s="288"/>
      <c r="E22" s="284">
        <f ca="1"/>
        <v>1.5176372177419359E-2</v>
      </c>
      <c r="F22" s="294">
        <f t="shared" ca="1" si="3"/>
        <v>1.5176372177419363E-2</v>
      </c>
      <c r="G22" s="284">
        <f ca="1">SUMPRODUCT(F19:F22,$H$4:$H$7)/SUM($H$4:$H$7)-$E$7</f>
        <v>-8.283894241574441E-6</v>
      </c>
      <c r="H22" s="289">
        <f t="shared" ca="1" si="2"/>
        <v>0</v>
      </c>
      <c r="J22" s="282" t="s">
        <v>306</v>
      </c>
      <c r="K22" s="2"/>
      <c r="L22" s="2"/>
      <c r="M22" s="2"/>
      <c r="N22" s="2"/>
      <c r="P22" s="1"/>
      <c r="Q22" s="369" t="s">
        <v>324</v>
      </c>
      <c r="R22" s="1"/>
      <c r="S22" s="1"/>
      <c r="T22" s="1"/>
      <c r="U22" s="1"/>
    </row>
    <row r="23" spans="2:41" ht="30.75" thickBot="1" x14ac:dyDescent="0.3">
      <c r="D23" s="290"/>
      <c r="E23" s="291">
        <f ca="1"/>
        <v>1.5820947531042795E-2</v>
      </c>
      <c r="F23" s="295">
        <f t="shared" ca="1" si="3"/>
        <v>1.5820947531042809E-2</v>
      </c>
      <c r="G23" s="291">
        <f ca="1">SUMPRODUCT(F19:F23,$H$4:$H$8)/SUM($H$4:$H$8)-$E$8</f>
        <v>-6.6698430993446245E-6</v>
      </c>
      <c r="H23" s="292">
        <f t="shared" ca="1" si="2"/>
        <v>0</v>
      </c>
      <c r="K23" s="1" t="s">
        <v>294</v>
      </c>
      <c r="L23" s="1" t="s">
        <v>295</v>
      </c>
      <c r="M23" s="1" t="s">
        <v>296</v>
      </c>
      <c r="N23" s="1" t="s">
        <v>297</v>
      </c>
      <c r="O23" s="1" t="s">
        <v>298</v>
      </c>
      <c r="P23" s="1"/>
      <c r="Q23" s="375" t="s">
        <v>137</v>
      </c>
      <c r="R23" s="376" t="s">
        <v>318</v>
      </c>
      <c r="S23" s="376" t="s">
        <v>320</v>
      </c>
      <c r="T23" s="376" t="s">
        <v>319</v>
      </c>
      <c r="U23" s="377" t="s">
        <v>284</v>
      </c>
      <c r="W23" s="2"/>
      <c r="X23" s="2"/>
      <c r="AM23" s="2"/>
    </row>
    <row r="24" spans="2:41" ht="18.75" thickTop="1" x14ac:dyDescent="0.25">
      <c r="B24" s="92" t="s">
        <v>300</v>
      </c>
      <c r="C24" s="314"/>
      <c r="D24" s="357">
        <v>3</v>
      </c>
      <c r="E24" s="358">
        <f t="array" aca="1" ref="E24:E28" ca="1">F24:F28-MMULT($K$24:$O$28,G24:G28)</f>
        <v>1.7335699999999999E-2</v>
      </c>
      <c r="F24" s="359">
        <f t="shared" ca="1" si="3"/>
        <v>1.7335699999999999E-2</v>
      </c>
      <c r="G24" s="359">
        <f ca="1">SUMPRODUCT(F24:F24,$H$4:$H$4)/SUM($H$4:$H$4)-$E$4</f>
        <v>0</v>
      </c>
      <c r="H24" s="360">
        <f t="shared" ca="1" si="2"/>
        <v>0</v>
      </c>
      <c r="J24" s="1" t="s">
        <v>301</v>
      </c>
      <c r="K24" s="296">
        <f t="array" aca="1" ref="K24:O28" ca="1">MINVERSE(K13:O17)</f>
        <v>1</v>
      </c>
      <c r="L24" s="297">
        <f ca="1"/>
        <v>0</v>
      </c>
      <c r="M24" s="297">
        <f ca="1"/>
        <v>0</v>
      </c>
      <c r="N24" s="297">
        <f ca="1"/>
        <v>0</v>
      </c>
      <c r="O24" s="298">
        <f ca="1"/>
        <v>0</v>
      </c>
      <c r="P24" s="1"/>
      <c r="Q24" s="337" t="s">
        <v>2</v>
      </c>
      <c r="R24" s="349">
        <f ca="1">E24</f>
        <v>1.7335699999999999E-2</v>
      </c>
      <c r="S24" s="315">
        <v>0.01</v>
      </c>
      <c r="T24" s="352">
        <f t="array" aca="1" ref="T24:T28" ca="1">$R$24:$R$28+MMULT($K$13:$O$17,$S$24:$S$28)</f>
        <v>2.7335699999999998E-2</v>
      </c>
      <c r="U24" s="353">
        <f ca="1">T24-R24</f>
        <v>9.9999999999999985E-3</v>
      </c>
      <c r="V24" s="119"/>
      <c r="W24" s="2"/>
      <c r="X24" s="2"/>
      <c r="AM24" s="2"/>
    </row>
    <row r="25" spans="2:41" ht="18" x14ac:dyDescent="0.25">
      <c r="B25" s="92" t="s">
        <v>300</v>
      </c>
      <c r="C25" s="314"/>
      <c r="D25" s="361"/>
      <c r="E25" s="362">
        <f ca="1"/>
        <v>1.4808781229417206E-2</v>
      </c>
      <c r="F25" s="363">
        <f t="shared" ca="1" si="3"/>
        <v>1.4808781229417206E-2</v>
      </c>
      <c r="G25" s="363">
        <f ca="1">SUMPRODUCT(F24:F25,$H$4:$H$5)/SUM($H$4:$H$5)-$E$5</f>
        <v>0</v>
      </c>
      <c r="H25" s="364">
        <f t="shared" ca="1" si="2"/>
        <v>0</v>
      </c>
      <c r="J25" s="1" t="s">
        <v>302</v>
      </c>
      <c r="K25" s="299">
        <f ca="1"/>
        <v>-1</v>
      </c>
      <c r="L25" s="300">
        <f ca="1"/>
        <v>2.0123586609722008</v>
      </c>
      <c r="M25" s="300">
        <f ca="1"/>
        <v>0</v>
      </c>
      <c r="N25" s="300">
        <f ca="1"/>
        <v>0</v>
      </c>
      <c r="O25" s="301">
        <f ca="1"/>
        <v>0</v>
      </c>
      <c r="P25" s="1"/>
      <c r="Q25" s="338" t="s">
        <v>3</v>
      </c>
      <c r="R25" s="350">
        <f ca="1">E25</f>
        <v>1.4808781229417206E-2</v>
      </c>
      <c r="S25" s="316">
        <f t="shared" ref="S25:S28" ca="1" si="4">S24-0.25%</f>
        <v>7.4999999999999997E-3</v>
      </c>
      <c r="T25" s="332">
        <f ca="1"/>
        <v>2.3505044146856328E-2</v>
      </c>
      <c r="U25" s="354">
        <f ca="1">T25-R25</f>
        <v>8.6962629174391227E-3</v>
      </c>
      <c r="V25" s="119"/>
      <c r="AM25" s="2"/>
    </row>
    <row r="26" spans="2:41" ht="18" x14ac:dyDescent="0.25">
      <c r="B26" s="92" t="s">
        <v>300</v>
      </c>
      <c r="C26" s="314"/>
      <c r="D26" s="361"/>
      <c r="E26" s="362">
        <f ca="1"/>
        <v>1.4813925984954429E-2</v>
      </c>
      <c r="F26" s="363">
        <f t="shared" ca="1" si="3"/>
        <v>1.4813925984954429E-2</v>
      </c>
      <c r="G26" s="363">
        <f ca="1">SUMPRODUCT(F24:F26,$H$4:$H$6)/SUM($H$4:$H$6)-$E$6</f>
        <v>0</v>
      </c>
      <c r="H26" s="364">
        <f t="shared" ca="1" si="2"/>
        <v>0</v>
      </c>
      <c r="I26" s="2"/>
      <c r="J26" s="1" t="s">
        <v>303</v>
      </c>
      <c r="K26" s="299">
        <f ca="1"/>
        <v>0</v>
      </c>
      <c r="L26" s="300">
        <f ca="1"/>
        <v>-2.0376056023166229</v>
      </c>
      <c r="M26" s="300">
        <f ca="1"/>
        <v>3.0376056023166229</v>
      </c>
      <c r="N26" s="300">
        <f ca="1"/>
        <v>0</v>
      </c>
      <c r="O26" s="301">
        <f ca="1"/>
        <v>0</v>
      </c>
      <c r="P26" s="1"/>
      <c r="Q26" s="338" t="s">
        <v>117</v>
      </c>
      <c r="R26" s="350">
        <f ca="1">E26</f>
        <v>1.4813925984954429E-2</v>
      </c>
      <c r="S26" s="316">
        <f t="shared" ca="1" si="4"/>
        <v>4.9999999999999992E-3</v>
      </c>
      <c r="T26" s="332">
        <f ca="1"/>
        <v>2.2293354526456078E-2</v>
      </c>
      <c r="U26" s="354">
        <f ca="1">T26-R26</f>
        <v>7.4794285415016488E-3</v>
      </c>
      <c r="V26" s="119"/>
      <c r="AM26" s="2"/>
    </row>
    <row r="27" spans="2:41" ht="18" x14ac:dyDescent="0.25">
      <c r="B27" s="92" t="s">
        <v>300</v>
      </c>
      <c r="C27" s="314"/>
      <c r="D27" s="361"/>
      <c r="E27" s="362">
        <f ca="1"/>
        <v>1.5176372177419359E-2</v>
      </c>
      <c r="F27" s="363">
        <f t="shared" ca="1" si="3"/>
        <v>1.5176372177419359E-2</v>
      </c>
      <c r="G27" s="363">
        <f ca="1">SUMPRODUCT(F24:F27,$H$4:$H$7)/SUM($H$4:$H$7)-$E$7</f>
        <v>0</v>
      </c>
      <c r="H27" s="364">
        <f t="shared" ca="1" si="2"/>
        <v>0</v>
      </c>
      <c r="I27" s="2"/>
      <c r="J27" s="1" t="s">
        <v>304</v>
      </c>
      <c r="K27" s="299">
        <f ca="1"/>
        <v>0</v>
      </c>
      <c r="L27" s="300">
        <f ca="1"/>
        <v>0</v>
      </c>
      <c r="M27" s="300">
        <f ca="1"/>
        <v>-3.0772849462365595</v>
      </c>
      <c r="N27" s="300">
        <f ca="1"/>
        <v>4.077284946236559</v>
      </c>
      <c r="O27" s="301">
        <f ca="1"/>
        <v>0</v>
      </c>
      <c r="P27" s="1"/>
      <c r="Q27" s="338" t="s">
        <v>27</v>
      </c>
      <c r="R27" s="350">
        <f ca="1">E27</f>
        <v>1.5176372177419359E-2</v>
      </c>
      <c r="S27" s="316">
        <f t="shared" ca="1" si="4"/>
        <v>2.4999999999999992E-3</v>
      </c>
      <c r="T27" s="332">
        <f ca="1"/>
        <v>2.143453985362441E-2</v>
      </c>
      <c r="U27" s="354">
        <f ca="1">T27-R27</f>
        <v>6.2581676762050505E-3</v>
      </c>
      <c r="V27" s="119"/>
      <c r="AM27" s="2"/>
    </row>
    <row r="28" spans="2:41" ht="18.75" thickBot="1" x14ac:dyDescent="0.3">
      <c r="B28" s="92" t="s">
        <v>300</v>
      </c>
      <c r="C28" s="314"/>
      <c r="D28" s="365"/>
      <c r="E28" s="366">
        <f ca="1"/>
        <v>1.5820947531042795E-2</v>
      </c>
      <c r="F28" s="367">
        <f t="shared" ca="1" si="3"/>
        <v>1.5820947531042795E-2</v>
      </c>
      <c r="G28" s="367">
        <f ca="1">SUMPRODUCT(F24:F28,$H$4:$H$8)/SUM($H$4:$H$8)-$E$8</f>
        <v>0</v>
      </c>
      <c r="H28" s="368">
        <f t="shared" ca="1" si="2"/>
        <v>0</v>
      </c>
      <c r="I28" s="2"/>
      <c r="J28" s="1" t="s">
        <v>305</v>
      </c>
      <c r="K28" s="302">
        <f ca="1"/>
        <v>0</v>
      </c>
      <c r="L28" s="303">
        <f ca="1"/>
        <v>2.8490330572381331E-16</v>
      </c>
      <c r="M28" s="303">
        <f ca="1"/>
        <v>-5.6980661144762662E-16</v>
      </c>
      <c r="N28" s="303">
        <f ca="1"/>
        <v>-4.1323616859775525</v>
      </c>
      <c r="O28" s="304">
        <f ca="1"/>
        <v>5.1323616859775525</v>
      </c>
      <c r="P28" s="1"/>
      <c r="Q28" s="339" t="s">
        <v>4</v>
      </c>
      <c r="R28" s="351">
        <f ca="1">E28</f>
        <v>1.5820947531042795E-2</v>
      </c>
      <c r="S28" s="317">
        <f t="shared" ca="1" si="4"/>
        <v>0</v>
      </c>
      <c r="T28" s="355">
        <f ca="1"/>
        <v>2.085976083218434E-2</v>
      </c>
      <c r="U28" s="356">
        <f ca="1">T28-R28</f>
        <v>5.0388133011415454E-3</v>
      </c>
      <c r="V28" s="119"/>
      <c r="AM28" s="2"/>
      <c r="AN28" s="179" t="s">
        <v>287</v>
      </c>
    </row>
    <row r="29" spans="2:41" ht="15.75" thickTop="1" x14ac:dyDescent="0.25">
      <c r="D29" s="285">
        <v>4</v>
      </c>
      <c r="E29" s="286">
        <f t="array" aca="1" ref="E29:E33" ca="1">F29:F33-MMULT($K$24:$O$28,G29:G33)</f>
        <v>1.7335699999999999E-2</v>
      </c>
      <c r="F29" s="293">
        <f t="shared" ca="1" si="3"/>
        <v>1.7335699999999999E-2</v>
      </c>
      <c r="G29" s="286">
        <f ca="1">SUMPRODUCT(F29:F29,$H$4:$H$4)/SUM($H$4:$H$4)-$E$4</f>
        <v>0</v>
      </c>
      <c r="H29" s="287">
        <f t="shared" ca="1" si="2"/>
        <v>0</v>
      </c>
      <c r="I29" s="2"/>
      <c r="AM29" s="2"/>
    </row>
    <row r="30" spans="2:41" x14ac:dyDescent="0.25">
      <c r="D30" s="288"/>
      <c r="E30" s="284">
        <f ca="1"/>
        <v>1.4808781229417206E-2</v>
      </c>
      <c r="F30" s="294">
        <f t="shared" ca="1" si="3"/>
        <v>1.4808781229417206E-2</v>
      </c>
      <c r="G30" s="284">
        <f ca="1">SUMPRODUCT(F29:F30,$H$4:$H$5)/SUM($H$4:$H$5)-$E$5</f>
        <v>0</v>
      </c>
      <c r="H30" s="289">
        <f t="shared" ca="1" si="2"/>
        <v>0</v>
      </c>
      <c r="I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2:41" x14ac:dyDescent="0.25">
      <c r="D31" s="288"/>
      <c r="E31" s="284">
        <f ca="1"/>
        <v>1.4813925984954429E-2</v>
      </c>
      <c r="F31" s="294">
        <f t="shared" ca="1" si="3"/>
        <v>1.4813925984954429E-2</v>
      </c>
      <c r="G31" s="284">
        <f ca="1">SUMPRODUCT(F29:F31,$H$4:$H$6)/SUM($H$4:$H$6)-$E$6</f>
        <v>0</v>
      </c>
      <c r="H31" s="289">
        <f t="shared" ca="1" si="2"/>
        <v>0</v>
      </c>
      <c r="I31" s="2"/>
      <c r="J31" s="2"/>
      <c r="K31" s="2"/>
      <c r="L31" s="2"/>
      <c r="M31" s="2"/>
      <c r="N31" s="2"/>
      <c r="P31" s="1"/>
      <c r="Q31" s="1"/>
      <c r="R31" s="1"/>
      <c r="S31" s="1"/>
      <c r="T31" s="1"/>
      <c r="U31" s="1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2:41" x14ac:dyDescent="0.25">
      <c r="D32" s="288"/>
      <c r="E32" s="284">
        <f ca="1"/>
        <v>1.5176372177419359E-2</v>
      </c>
      <c r="F32" s="294">
        <f t="shared" ca="1" si="3"/>
        <v>1.5176372177419359E-2</v>
      </c>
      <c r="G32" s="284">
        <f ca="1">SUMPRODUCT(F29:F32,$H$4:$H$7)/SUM($H$4:$H$7)-$E$7</f>
        <v>0</v>
      </c>
      <c r="H32" s="289">
        <f t="shared" ca="1" si="2"/>
        <v>0</v>
      </c>
      <c r="I32" s="2"/>
      <c r="J32" s="2"/>
      <c r="K32" s="2"/>
      <c r="L32" s="2"/>
      <c r="M32" s="2"/>
      <c r="N32" s="2"/>
      <c r="O32" s="4"/>
      <c r="P32" s="4"/>
      <c r="Q32" s="4"/>
      <c r="R32" s="4"/>
      <c r="S32" s="4"/>
      <c r="T32" s="4"/>
      <c r="U32" s="4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4:40" x14ac:dyDescent="0.25">
      <c r="D33" s="290"/>
      <c r="E33" s="291">
        <f ca="1"/>
        <v>1.5820947531042795E-2</v>
      </c>
      <c r="F33" s="295">
        <f t="shared" ca="1" si="3"/>
        <v>1.5820947531042795E-2</v>
      </c>
      <c r="G33" s="291">
        <f ca="1">SUMPRODUCT(F29:F33,$H$4:$H$8)/SUM($H$4:$H$8)-$E$8</f>
        <v>0</v>
      </c>
      <c r="H33" s="292">
        <f t="shared" ca="1" si="2"/>
        <v>0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4:40" x14ac:dyDescent="0.25">
      <c r="D34" s="285">
        <v>5</v>
      </c>
      <c r="E34" s="286">
        <f t="array" aca="1" ref="E34:E38" ca="1">F34:F38-MMULT($K$24:$O$28,G34:G38)</f>
        <v>1.7335699999999999E-2</v>
      </c>
      <c r="F34" s="293">
        <f t="shared" ca="1" si="3"/>
        <v>1.7335699999999999E-2</v>
      </c>
      <c r="G34" s="286">
        <f ca="1">SUMPRODUCT(F34:F34,$H$4:$H$4)/SUM($H$4:$H$4)-$E$4</f>
        <v>0</v>
      </c>
      <c r="H34" s="287">
        <f t="shared" ca="1" si="2"/>
        <v>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4:40" x14ac:dyDescent="0.25">
      <c r="D35" s="288"/>
      <c r="E35" s="284">
        <f ca="1"/>
        <v>1.4808781229417206E-2</v>
      </c>
      <c r="F35" s="294">
        <f t="shared" ca="1" si="3"/>
        <v>1.4808781229417206E-2</v>
      </c>
      <c r="G35" s="284">
        <f ca="1">SUMPRODUCT(F34:F35,$H$4:$H$5)/SUM($H$4:$H$5)-$E$5</f>
        <v>0</v>
      </c>
      <c r="H35" s="289">
        <f t="shared" ca="1" si="2"/>
        <v>0</v>
      </c>
      <c r="I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4:40" x14ac:dyDescent="0.25">
      <c r="D36" s="288"/>
      <c r="E36" s="284">
        <f ca="1"/>
        <v>1.4813925984954429E-2</v>
      </c>
      <c r="F36" s="294">
        <f t="shared" ca="1" si="3"/>
        <v>1.4813925984954429E-2</v>
      </c>
      <c r="G36" s="284">
        <f ca="1">SUMPRODUCT(F34:F36,$H$4:$H$6)/SUM($H$4:$H$6)-$E$6</f>
        <v>0</v>
      </c>
      <c r="H36" s="289">
        <f t="shared" ca="1" si="2"/>
        <v>0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4:40" x14ac:dyDescent="0.25">
      <c r="D37" s="288"/>
      <c r="E37" s="284">
        <f ca="1"/>
        <v>1.5176372177419359E-2</v>
      </c>
      <c r="F37" s="294">
        <f t="shared" ca="1" si="3"/>
        <v>1.5176372177419359E-2</v>
      </c>
      <c r="G37" s="284">
        <f ca="1">SUMPRODUCT(F34:F37,$H$4:$H$7)/SUM($H$4:$H$7)-$E$7</f>
        <v>0</v>
      </c>
      <c r="H37" s="289">
        <f t="shared" ca="1" si="2"/>
        <v>0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179" t="s">
        <v>286</v>
      </c>
    </row>
    <row r="38" spans="4:40" x14ac:dyDescent="0.25">
      <c r="D38" s="290"/>
      <c r="E38" s="291">
        <f ca="1"/>
        <v>1.5820947531042795E-2</v>
      </c>
      <c r="F38" s="295">
        <f t="shared" ca="1" si="3"/>
        <v>1.5820947531042795E-2</v>
      </c>
      <c r="G38" s="291">
        <f ca="1">SUMPRODUCT(F34:F38,$H$4:$H$8)/SUM($H$4:$H$8)-$E$8</f>
        <v>0</v>
      </c>
      <c r="H38" s="292">
        <f t="shared" ca="1" si="2"/>
        <v>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</row>
    <row r="39" spans="4:40" x14ac:dyDescent="0.25"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AM39" s="2"/>
    </row>
    <row r="40" spans="4:40" x14ac:dyDescent="0.25">
      <c r="AM40" s="2"/>
    </row>
    <row r="41" spans="4:40" x14ac:dyDescent="0.25">
      <c r="AM41" s="2"/>
    </row>
    <row r="42" spans="4:40" x14ac:dyDescent="0.25">
      <c r="AM42" s="2"/>
    </row>
    <row r="43" spans="4:40" x14ac:dyDescent="0.25">
      <c r="D43" s="2"/>
      <c r="E43" s="281"/>
      <c r="F43" s="281"/>
      <c r="G43" s="281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4:40" x14ac:dyDescent="0.25">
      <c r="D44" s="2"/>
      <c r="E44" s="281"/>
      <c r="F44" s="281"/>
      <c r="G44" s="28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4:40" x14ac:dyDescent="0.25">
      <c r="D45" s="2"/>
      <c r="E45" s="281"/>
      <c r="F45" s="281"/>
      <c r="G45" s="28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4:40" x14ac:dyDescent="0.25">
      <c r="D46" s="2"/>
      <c r="E46" s="281"/>
      <c r="F46" s="281"/>
      <c r="G46" s="28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</row>
  </sheetData>
  <hyperlinks>
    <hyperlink ref="BE3" r:id="rId1"/>
  </hyperlinks>
  <pageMargins left="0.7" right="0.7" top="0.75" bottom="0.75" header="0.3" footer="0.3"/>
  <pageSetup paperSize="9" orientation="portrait" r:id="rId2"/>
  <ignoredErrors>
    <ignoredError sqref="G15:G17 K14:O17 T14:T17" formulaRange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"/>
  <sheetViews>
    <sheetView showGridLines="0" workbookViewId="0"/>
  </sheetViews>
  <sheetFormatPr defaultRowHeight="15" outlineLevelCol="1" x14ac:dyDescent="0.25"/>
  <cols>
    <col min="1" max="1" width="4.7109375" customWidth="1"/>
    <col min="2" max="2" width="13.7109375" customWidth="1"/>
    <col min="3" max="3" width="4.7109375" customWidth="1"/>
    <col min="4" max="4" width="9.140625" customWidth="1"/>
    <col min="5" max="7" width="9.7109375" customWidth="1"/>
    <col min="8" max="8" width="18.5703125" bestFit="1" customWidth="1"/>
    <col min="9" max="9" width="4.7109375" customWidth="1"/>
    <col min="11" max="15" width="6.7109375" customWidth="1"/>
    <col min="16" max="16" width="9.140625" customWidth="1"/>
    <col min="17" max="21" width="12" customWidth="1"/>
    <col min="23" max="38" width="9.140625" hidden="1" customWidth="1" outlineLevel="1"/>
    <col min="39" max="39" width="9.140625" collapsed="1"/>
    <col min="40" max="54" width="9.140625" hidden="1" customWidth="1" outlineLevel="1"/>
    <col min="55" max="55" width="9.140625" collapsed="1"/>
    <col min="56" max="69" width="9.140625" hidden="1" customWidth="1" outlineLevel="1"/>
    <col min="70" max="70" width="16.5703125" bestFit="1" customWidth="1" collapsed="1"/>
    <col min="74" max="74" width="10.140625" bestFit="1" customWidth="1"/>
  </cols>
  <sheetData>
    <row r="1" spans="2:70" x14ac:dyDescent="0.25">
      <c r="AM1" s="92" t="s">
        <v>291</v>
      </c>
      <c r="BC1" s="92" t="s">
        <v>292</v>
      </c>
      <c r="BE1" s="280"/>
      <c r="BR1" s="38" t="s">
        <v>299</v>
      </c>
    </row>
    <row r="2" spans="2:70" ht="18.75" x14ac:dyDescent="0.3">
      <c r="D2" s="331" t="s">
        <v>332</v>
      </c>
      <c r="G2" s="331" t="s">
        <v>311</v>
      </c>
      <c r="J2" s="331" t="s">
        <v>313</v>
      </c>
      <c r="Q2" s="371" t="s">
        <v>323</v>
      </c>
      <c r="AM2" s="92"/>
      <c r="BC2" s="92"/>
      <c r="BE2" s="280"/>
      <c r="BR2" s="38"/>
    </row>
    <row r="3" spans="2:70" ht="18" x14ac:dyDescent="0.35">
      <c r="B3" t="s">
        <v>310</v>
      </c>
      <c r="D3" s="33" t="s">
        <v>283</v>
      </c>
      <c r="G3" s="33" t="s">
        <v>312</v>
      </c>
      <c r="W3" s="179" t="s">
        <v>290</v>
      </c>
      <c r="AN3" s="179" t="s">
        <v>330</v>
      </c>
      <c r="AO3" s="2"/>
      <c r="BE3" s="280" t="s">
        <v>282</v>
      </c>
    </row>
    <row r="4" spans="2:70" ht="18.75" x14ac:dyDescent="0.25">
      <c r="B4" s="318">
        <v>-5.0000000000000001E-3</v>
      </c>
      <c r="D4" s="305" t="s">
        <v>2</v>
      </c>
      <c r="E4" s="306">
        <v>-4.2956000000000001E-3</v>
      </c>
      <c r="F4" s="1"/>
      <c r="G4" s="305" t="s">
        <v>2</v>
      </c>
      <c r="H4" s="311">
        <v>0.985846</v>
      </c>
      <c r="Q4" s="370" t="s">
        <v>325</v>
      </c>
      <c r="R4" s="1"/>
      <c r="S4" s="1"/>
      <c r="T4" s="1"/>
      <c r="U4" s="1"/>
      <c r="AN4" s="2"/>
      <c r="AO4" s="2"/>
    </row>
    <row r="5" spans="2:70" ht="18.75" x14ac:dyDescent="0.25">
      <c r="B5" s="319">
        <v>-5.0000000000000001E-3</v>
      </c>
      <c r="D5" s="307" t="s">
        <v>3</v>
      </c>
      <c r="E5" s="308">
        <v>-4.3614999999999999E-3</v>
      </c>
      <c r="F5" s="1"/>
      <c r="G5" s="307" t="s">
        <v>3</v>
      </c>
      <c r="H5" s="312">
        <v>0.97381099999999998</v>
      </c>
      <c r="Q5" s="369" t="s">
        <v>321</v>
      </c>
      <c r="R5" s="1"/>
      <c r="S5" s="1"/>
      <c r="T5" s="1"/>
      <c r="U5" s="1"/>
      <c r="AN5" s="2"/>
      <c r="AO5" s="2"/>
    </row>
    <row r="6" spans="2:70" ht="18" x14ac:dyDescent="0.35">
      <c r="B6" s="319">
        <v>-5.0000000000000001E-3</v>
      </c>
      <c r="D6" s="307" t="s">
        <v>117</v>
      </c>
      <c r="E6" s="308">
        <v>-4.1284E-3</v>
      </c>
      <c r="F6" s="1"/>
      <c r="G6" s="307" t="s">
        <v>117</v>
      </c>
      <c r="H6" s="312">
        <v>0.96174499999999996</v>
      </c>
      <c r="J6" t="s">
        <v>328</v>
      </c>
      <c r="Q6" s="1"/>
      <c r="R6" s="1"/>
      <c r="S6" s="1"/>
      <c r="T6" s="1"/>
      <c r="U6" s="1"/>
      <c r="AN6" s="2"/>
      <c r="AO6" s="2"/>
    </row>
    <row r="7" spans="2:70" ht="18" x14ac:dyDescent="0.35">
      <c r="B7" s="319">
        <v>-5.0000000000000001E-3</v>
      </c>
      <c r="D7" s="307" t="s">
        <v>27</v>
      </c>
      <c r="E7" s="308">
        <v>-3.7948000000000001E-3</v>
      </c>
      <c r="F7" s="1"/>
      <c r="G7" s="307" t="s">
        <v>27</v>
      </c>
      <c r="H7" s="312">
        <v>0.94934399999999997</v>
      </c>
      <c r="J7" t="s">
        <v>331</v>
      </c>
      <c r="Q7" s="372" t="s">
        <v>137</v>
      </c>
      <c r="R7" s="373" t="s">
        <v>315</v>
      </c>
      <c r="S7" s="373" t="s">
        <v>316</v>
      </c>
      <c r="T7" s="373" t="s">
        <v>314</v>
      </c>
      <c r="U7" s="374" t="s">
        <v>317</v>
      </c>
      <c r="AN7" s="2"/>
      <c r="AO7" s="2"/>
    </row>
    <row r="8" spans="2:70" x14ac:dyDescent="0.25">
      <c r="B8" s="320">
        <v>-5.0000000000000001E-3</v>
      </c>
      <c r="D8" s="309" t="s">
        <v>4</v>
      </c>
      <c r="E8" s="310">
        <v>-3.3568999999999999E-3</v>
      </c>
      <c r="F8" s="1"/>
      <c r="G8" s="309" t="s">
        <v>4</v>
      </c>
      <c r="H8" s="313">
        <v>0.93669100000000005</v>
      </c>
      <c r="Q8" s="337" t="s">
        <v>2</v>
      </c>
      <c r="R8" s="333">
        <v>1E-4</v>
      </c>
      <c r="S8" s="340">
        <f t="array" aca="1" ref="S8:S12" ca="1">MMULT(K13:O17,R8:R12)</f>
        <v>1E-4</v>
      </c>
      <c r="T8" s="341">
        <f ca="1">1000000*SUM($H$4:H4)</f>
        <v>985846</v>
      </c>
      <c r="U8" s="342">
        <f t="shared" ref="U8" ca="1" si="0">S8*T8</f>
        <v>98.584600000000009</v>
      </c>
      <c r="AN8" s="2"/>
      <c r="AO8" s="2"/>
    </row>
    <row r="9" spans="2:70" x14ac:dyDescent="0.25">
      <c r="J9" s="331" t="s">
        <v>322</v>
      </c>
      <c r="Q9" s="338" t="s">
        <v>3</v>
      </c>
      <c r="R9" s="334">
        <v>1E-4</v>
      </c>
      <c r="S9" s="343">
        <f ca="1"/>
        <v>9.9385861913589977E-5</v>
      </c>
      <c r="T9" s="344">
        <f ca="1">1000000*SUM($H$4:H5)</f>
        <v>1959657</v>
      </c>
      <c r="U9" s="345">
        <f ca="1">S9*T9</f>
        <v>194.76220000000001</v>
      </c>
      <c r="AN9" s="2"/>
      <c r="AO9" s="2"/>
    </row>
    <row r="10" spans="2:70" ht="18" x14ac:dyDescent="0.35">
      <c r="J10" s="33" t="s">
        <v>329</v>
      </c>
      <c r="Q10" s="338" t="s">
        <v>117</v>
      </c>
      <c r="R10" s="334">
        <v>1E-4</v>
      </c>
      <c r="S10" s="343">
        <f ca="1"/>
        <v>9.9588040262860099E-5</v>
      </c>
      <c r="T10" s="344">
        <f ca="1">1000000*SUM($H$4:H6)</f>
        <v>2921402</v>
      </c>
      <c r="U10" s="345">
        <f ca="1">S10*T10</f>
        <v>290.93670000000003</v>
      </c>
      <c r="AN10" s="2"/>
      <c r="AO10" s="2"/>
    </row>
    <row r="11" spans="2:70" x14ac:dyDescent="0.25">
      <c r="D11" s="13" t="s">
        <v>288</v>
      </c>
      <c r="H11" s="1"/>
      <c r="J11" s="282"/>
      <c r="K11" s="2"/>
      <c r="L11" s="2"/>
      <c r="M11" s="2"/>
      <c r="N11" s="1"/>
      <c r="Q11" s="338" t="s">
        <v>27</v>
      </c>
      <c r="R11" s="334">
        <v>1E-4</v>
      </c>
      <c r="S11" s="343">
        <f ca="1"/>
        <v>9.9689078022686064E-5</v>
      </c>
      <c r="T11" s="344">
        <f ca="1">1000000*SUM($H$4:H7)</f>
        <v>3870746</v>
      </c>
      <c r="U11" s="345">
        <f ca="1">S11*T11</f>
        <v>385.87110000000001</v>
      </c>
      <c r="AN11" s="2"/>
      <c r="AO11" s="2"/>
    </row>
    <row r="12" spans="2:70" ht="18" x14ac:dyDescent="0.25">
      <c r="D12" s="13"/>
      <c r="H12" s="1"/>
      <c r="K12" s="1" t="s">
        <v>294</v>
      </c>
      <c r="L12" s="1" t="s">
        <v>295</v>
      </c>
      <c r="M12" s="1" t="s">
        <v>296</v>
      </c>
      <c r="N12" s="1" t="s">
        <v>297</v>
      </c>
      <c r="O12" s="1" t="s">
        <v>298</v>
      </c>
      <c r="P12" s="1"/>
      <c r="Q12" s="339" t="s">
        <v>4</v>
      </c>
      <c r="R12" s="335">
        <v>1E-4</v>
      </c>
      <c r="S12" s="346">
        <f ca="1"/>
        <v>9.9749658705875933E-5</v>
      </c>
      <c r="T12" s="347">
        <f ca="1">1000000*SUM($H$4:H8)</f>
        <v>4807437</v>
      </c>
      <c r="U12" s="348">
        <f ca="1">S12*T12</f>
        <v>479.54020000000008</v>
      </c>
      <c r="AN12" s="2"/>
      <c r="AO12" s="2"/>
    </row>
    <row r="13" spans="2:70" ht="18" x14ac:dyDescent="0.25">
      <c r="D13" s="1" t="s">
        <v>293</v>
      </c>
      <c r="E13" s="1" t="s">
        <v>309</v>
      </c>
      <c r="F13" s="1" t="s">
        <v>308</v>
      </c>
      <c r="G13" s="1" t="s">
        <v>307</v>
      </c>
      <c r="H13" s="283" t="s">
        <v>289</v>
      </c>
      <c r="J13" s="1" t="s">
        <v>301</v>
      </c>
      <c r="K13" s="321">
        <f ca="1">$H4/SUM($H$4:$H4)</f>
        <v>1</v>
      </c>
      <c r="L13" s="322">
        <v>0</v>
      </c>
      <c r="M13" s="322">
        <v>0</v>
      </c>
      <c r="N13" s="322">
        <v>0</v>
      </c>
      <c r="O13" s="323">
        <v>0</v>
      </c>
      <c r="P13" s="1"/>
      <c r="Q13" s="336" t="s">
        <v>327</v>
      </c>
      <c r="R13" s="1"/>
      <c r="S13" s="1"/>
      <c r="T13" s="1"/>
      <c r="U13" s="1"/>
      <c r="AN13" s="2"/>
      <c r="AO13" s="2"/>
    </row>
    <row r="14" spans="2:70" ht="18" x14ac:dyDescent="0.25">
      <c r="D14" s="285">
        <v>1</v>
      </c>
      <c r="E14" s="286">
        <f t="array" aca="1" ref="E14:E18" ca="1">F14:F18-MMULT($K$24:$O$28,G14:G18)</f>
        <v>-4.2956000000000001E-3</v>
      </c>
      <c r="F14" s="293">
        <f t="shared" ref="F14:F18" ca="1" si="1">B4</f>
        <v>-5.0000000000000001E-3</v>
      </c>
      <c r="G14" s="286">
        <f ca="1">SUMPRODUCT(F14:F14,$H$4:$H$4)/SUM($H$4:$H$4)-$E$4</f>
        <v>-7.0439999999999999E-4</v>
      </c>
      <c r="H14" s="287">
        <f t="shared" ref="H14:H38" ca="1" si="2">E14-F14</f>
        <v>7.0439999999999999E-4</v>
      </c>
      <c r="J14" s="1" t="s">
        <v>302</v>
      </c>
      <c r="K14" s="324">
        <f ca="1">$H$5/SUM($H$4:$H5)</f>
        <v>0.4969293095679499</v>
      </c>
      <c r="L14" s="325">
        <f ca="1">$H$5/SUM($H$4:$H5)</f>
        <v>0.4969293095679499</v>
      </c>
      <c r="M14" s="326">
        <v>0</v>
      </c>
      <c r="N14" s="326">
        <v>0</v>
      </c>
      <c r="O14" s="327">
        <v>0</v>
      </c>
      <c r="P14" s="1"/>
      <c r="AN14" s="2"/>
      <c r="AO14" s="2"/>
    </row>
    <row r="15" spans="2:70" ht="18" x14ac:dyDescent="0.25">
      <c r="D15" s="288"/>
      <c r="E15" s="284">
        <f ca="1"/>
        <v>-4.4195089949692493E-3</v>
      </c>
      <c r="F15" s="294">
        <f t="shared" ca="1" si="1"/>
        <v>-5.0000000000000001E-3</v>
      </c>
      <c r="G15" s="284">
        <f ca="1">SUMPRODUCT(F14:F15,$H$4:$H$5)/SUM($H$4:$H$5)-$E$5</f>
        <v>-6.3850000000000018E-4</v>
      </c>
      <c r="H15" s="289">
        <f t="shared" ca="1" si="2"/>
        <v>5.8049100503075081E-4</v>
      </c>
      <c r="J15" s="1" t="s">
        <v>303</v>
      </c>
      <c r="K15" s="324">
        <f ca="1">$H$5/SUM($H$4:$H6)</f>
        <v>0.33333687044781923</v>
      </c>
      <c r="L15" s="326">
        <f ca="1">$H$5/SUM($H$4:$H6)</f>
        <v>0.33333687044781923</v>
      </c>
      <c r="M15" s="326">
        <f ca="1">$H$6/SUM($H$4:$H6)</f>
        <v>0.32920666173296242</v>
      </c>
      <c r="N15" s="326">
        <v>0</v>
      </c>
      <c r="O15" s="327">
        <v>0</v>
      </c>
      <c r="P15" s="1"/>
      <c r="V15" s="119"/>
      <c r="AN15" s="2"/>
      <c r="AO15" s="2"/>
    </row>
    <row r="16" spans="2:70" ht="18.75" x14ac:dyDescent="0.25">
      <c r="D16" s="288"/>
      <c r="E16" s="284">
        <f ca="1"/>
        <v>-3.6534341340999951E-3</v>
      </c>
      <c r="F16" s="294">
        <f t="shared" ca="1" si="1"/>
        <v>-5.0000000000000001E-3</v>
      </c>
      <c r="G16" s="284">
        <f ca="1">SUMPRODUCT(F14:F16,$H$4:$H$6)/SUM($H$4:$H$6)-$E$6</f>
        <v>-8.7160000000000015E-4</v>
      </c>
      <c r="H16" s="289">
        <f t="shared" ca="1" si="2"/>
        <v>1.346565865900005E-3</v>
      </c>
      <c r="J16" s="1" t="s">
        <v>304</v>
      </c>
      <c r="K16" s="324">
        <f ca="1">$H$5/SUM($H$4:$H7)</f>
        <v>0.25158225313673382</v>
      </c>
      <c r="L16" s="326">
        <f ca="1">$H$5/SUM($H$4:$H7)</f>
        <v>0.25158225313673382</v>
      </c>
      <c r="M16" s="326">
        <f ca="1">$H$6/SUM($H$4:$H7)</f>
        <v>0.24846502457149086</v>
      </c>
      <c r="N16" s="326">
        <f ca="1">$H$7/SUM($H$4:$H7)</f>
        <v>0.24526124938190208</v>
      </c>
      <c r="O16" s="327">
        <v>0</v>
      </c>
      <c r="P16" s="1"/>
      <c r="Q16" s="370" t="s">
        <v>326</v>
      </c>
      <c r="V16" s="119"/>
      <c r="AN16" s="2"/>
      <c r="AO16" s="2"/>
    </row>
    <row r="17" spans="2:41" ht="20.25" x14ac:dyDescent="0.25">
      <c r="D17" s="288"/>
      <c r="E17" s="284">
        <f ca="1"/>
        <v>-2.7682177419354847E-3</v>
      </c>
      <c r="F17" s="294">
        <f t="shared" ca="1" si="1"/>
        <v>-5.0000000000000001E-3</v>
      </c>
      <c r="G17" s="284">
        <f ca="1">SUMPRODUCT(F14:F17,$H$4:$H$7)/SUM($H$4:$H$7)-$E$7</f>
        <v>-1.2052E-3</v>
      </c>
      <c r="H17" s="289">
        <f t="shared" ca="1" si="2"/>
        <v>2.2317822580645154E-3</v>
      </c>
      <c r="J17" s="1" t="s">
        <v>305</v>
      </c>
      <c r="K17" s="328">
        <f ca="1">$H$5/SUM($H$4:$H8)</f>
        <v>0.20256344492917952</v>
      </c>
      <c r="L17" s="329">
        <f ca="1">$H$5/SUM($H$4:$H8)</f>
        <v>0.20256344492917952</v>
      </c>
      <c r="M17" s="329">
        <f ca="1">$H$6/SUM($H$4:$H8)</f>
        <v>0.20005358364550591</v>
      </c>
      <c r="N17" s="329">
        <f ca="1">$H$7/SUM($H$4:$H8)</f>
        <v>0.19747403866134905</v>
      </c>
      <c r="O17" s="330">
        <f ca="1">$H$8/SUM($H$4:$H8)</f>
        <v>0.19484207489354516</v>
      </c>
      <c r="P17" s="1"/>
      <c r="Q17" s="369" t="s">
        <v>324</v>
      </c>
      <c r="R17" s="1"/>
      <c r="S17" s="1"/>
      <c r="T17" s="1"/>
      <c r="U17" s="1"/>
      <c r="V17" s="119"/>
      <c r="AN17" s="2"/>
      <c r="AO17" s="2"/>
    </row>
    <row r="18" spans="2:41" ht="30" x14ac:dyDescent="0.25">
      <c r="D18" s="290"/>
      <c r="E18" s="291">
        <f ca="1"/>
        <v>-1.5473388177104338E-3</v>
      </c>
      <c r="F18" s="295">
        <f t="shared" ca="1" si="1"/>
        <v>-5.0000000000000001E-3</v>
      </c>
      <c r="G18" s="291">
        <f ca="1">SUMPRODUCT(F14:F18,$H$4:$H$8)/SUM($H$4:$H$8)-$E$8</f>
        <v>-1.6430999999999993E-3</v>
      </c>
      <c r="H18" s="292">
        <f t="shared" ca="1" si="2"/>
        <v>3.4526611822895664E-3</v>
      </c>
      <c r="P18" s="1"/>
      <c r="Q18" s="375" t="s">
        <v>137</v>
      </c>
      <c r="R18" s="376" t="s">
        <v>318</v>
      </c>
      <c r="S18" s="376" t="s">
        <v>320</v>
      </c>
      <c r="T18" s="376" t="s">
        <v>319</v>
      </c>
      <c r="U18" s="377" t="s">
        <v>284</v>
      </c>
      <c r="V18" s="119"/>
      <c r="AN18" s="2"/>
      <c r="AO18" s="2"/>
    </row>
    <row r="19" spans="2:41" x14ac:dyDescent="0.25">
      <c r="D19" s="285">
        <v>2</v>
      </c>
      <c r="E19" s="286">
        <f t="array" aca="1" ref="E19:E23" ca="1">F19:F23-MMULT($K$24:$O$28,G19:G23)</f>
        <v>-4.2956000000000001E-3</v>
      </c>
      <c r="F19" s="293">
        <f t="shared" ref="F19:F38" ca="1" si="3">E14</f>
        <v>-4.2956000000000001E-3</v>
      </c>
      <c r="G19" s="286">
        <f ca="1">SUMPRODUCT(F19:F19,$H$4:$H$4)/SUM($H$4:$H$4)-$E$4</f>
        <v>0</v>
      </c>
      <c r="H19" s="287">
        <f t="shared" ca="1" si="2"/>
        <v>0</v>
      </c>
      <c r="Q19" s="337" t="s">
        <v>2</v>
      </c>
      <c r="R19" s="349">
        <f ca="1">E24</f>
        <v>-4.2956000000000001E-3</v>
      </c>
      <c r="S19" s="315">
        <v>0.01</v>
      </c>
      <c r="T19" s="352">
        <f t="array" aca="1" ref="T19:T23" ca="1">$R$19:$R$23+MMULT($K$13:$O$17,$S$19:$S$23)</f>
        <v>5.7044000000000001E-3</v>
      </c>
      <c r="U19" s="353">
        <f ca="1">T19-R19</f>
        <v>0.01</v>
      </c>
      <c r="V19" s="119"/>
      <c r="AM19" s="6"/>
      <c r="AN19" s="2"/>
      <c r="AO19" s="2"/>
    </row>
    <row r="20" spans="2:41" x14ac:dyDescent="0.25">
      <c r="D20" s="288"/>
      <c r="E20" s="284">
        <f ca="1"/>
        <v>-4.4282144357580683E-3</v>
      </c>
      <c r="F20" s="294">
        <f t="shared" ca="1" si="3"/>
        <v>-4.4195089949692493E-3</v>
      </c>
      <c r="G20" s="284">
        <f ca="1">SUMPRODUCT(F19:F20,$H$4:$H$5)/SUM($H$4:$H$5)-$E$5</f>
        <v>4.3259886806723893E-6</v>
      </c>
      <c r="H20" s="289">
        <f t="shared" ca="1" si="2"/>
        <v>-8.7054407888189841E-6</v>
      </c>
      <c r="Q20" s="338" t="s">
        <v>3</v>
      </c>
      <c r="R20" s="350">
        <f ca="1">E25</f>
        <v>-4.4282144357580683E-3</v>
      </c>
      <c r="S20" s="316">
        <f t="shared" ref="S20:S23" ca="1" si="4">S19-0.25%</f>
        <v>7.4999999999999997E-3</v>
      </c>
      <c r="T20" s="332">
        <f ca="1"/>
        <v>4.2680484816810544E-3</v>
      </c>
      <c r="U20" s="354">
        <f ca="1">T20-R20</f>
        <v>8.6962629174391227E-3</v>
      </c>
      <c r="AN20" s="2"/>
      <c r="AO20" s="2"/>
    </row>
    <row r="21" spans="2:41" x14ac:dyDescent="0.25">
      <c r="D21" s="288"/>
      <c r="E21" s="284">
        <f ca="1"/>
        <v>-3.6534341340999955E-3</v>
      </c>
      <c r="F21" s="294">
        <f t="shared" ca="1" si="3"/>
        <v>-3.6534341340999951E-3</v>
      </c>
      <c r="G21" s="284">
        <f ca="1">SUMPRODUCT(F19:F21,$H$4:$H$6)/SUM($H$4:$H$6)-$E$6</f>
        <v>2.9018443884138226E-6</v>
      </c>
      <c r="H21" s="289">
        <f t="shared" ca="1" si="2"/>
        <v>0</v>
      </c>
      <c r="Q21" s="338" t="s">
        <v>117</v>
      </c>
      <c r="R21" s="350">
        <f ca="1">E26</f>
        <v>-3.6534341340999955E-3</v>
      </c>
      <c r="S21" s="316">
        <f t="shared" ca="1" si="4"/>
        <v>4.9999999999999992E-3</v>
      </c>
      <c r="T21" s="332">
        <f ca="1"/>
        <v>3.8259944074016533E-3</v>
      </c>
      <c r="U21" s="354">
        <f ca="1">T21-R21</f>
        <v>7.4794285415016488E-3</v>
      </c>
    </row>
    <row r="22" spans="2:41" ht="18" x14ac:dyDescent="0.25">
      <c r="D22" s="288"/>
      <c r="E22" s="284">
        <f ca="1"/>
        <v>-2.7682177419354839E-3</v>
      </c>
      <c r="F22" s="294">
        <f t="shared" ca="1" si="3"/>
        <v>-2.7682177419354847E-3</v>
      </c>
      <c r="G22" s="284">
        <f ca="1">SUMPRODUCT(F19:F22,$H$4:$H$7)/SUM($H$4:$H$7)-$E$7</f>
        <v>2.1901344081994185E-6</v>
      </c>
      <c r="H22" s="289">
        <f t="shared" ca="1" si="2"/>
        <v>0</v>
      </c>
      <c r="J22" s="282" t="s">
        <v>306</v>
      </c>
      <c r="K22" s="2"/>
      <c r="L22" s="2"/>
      <c r="M22" s="2"/>
      <c r="N22" s="2"/>
      <c r="P22" s="1"/>
      <c r="Q22" s="338" t="s">
        <v>27</v>
      </c>
      <c r="R22" s="350">
        <f ca="1">E27</f>
        <v>-2.7682177419354839E-3</v>
      </c>
      <c r="S22" s="316">
        <f t="shared" ca="1" si="4"/>
        <v>2.4999999999999992E-3</v>
      </c>
      <c r="T22" s="332">
        <f ca="1"/>
        <v>3.4899499342695667E-3</v>
      </c>
      <c r="U22" s="354">
        <f ca="1">T22-R22</f>
        <v>6.2581676762050505E-3</v>
      </c>
      <c r="AN22" s="179" t="s">
        <v>287</v>
      </c>
    </row>
    <row r="23" spans="2:41" ht="18.75" thickBot="1" x14ac:dyDescent="0.3">
      <c r="D23" s="290"/>
      <c r="E23" s="291">
        <f ca="1"/>
        <v>-1.5473388177104301E-3</v>
      </c>
      <c r="F23" s="295">
        <f t="shared" ca="1" si="3"/>
        <v>-1.5473388177104338E-3</v>
      </c>
      <c r="G23" s="291">
        <f ca="1">SUMPRODUCT(F19:F23,$H$4:$H$8)/SUM($H$4:$H$8)-$E$8</f>
        <v>1.7634040758093827E-6</v>
      </c>
      <c r="H23" s="292">
        <f t="shared" ca="1" si="2"/>
        <v>3.6862873864507151E-18</v>
      </c>
      <c r="K23" s="1" t="s">
        <v>294</v>
      </c>
      <c r="L23" s="1" t="s">
        <v>295</v>
      </c>
      <c r="M23" s="1" t="s">
        <v>296</v>
      </c>
      <c r="N23" s="1" t="s">
        <v>297</v>
      </c>
      <c r="O23" s="1" t="s">
        <v>298</v>
      </c>
      <c r="P23" s="1"/>
      <c r="Q23" s="339" t="s">
        <v>4</v>
      </c>
      <c r="R23" s="351">
        <f ca="1">E28</f>
        <v>-1.5473388177104301E-3</v>
      </c>
      <c r="S23" s="317">
        <f t="shared" ca="1" si="4"/>
        <v>0</v>
      </c>
      <c r="T23" s="355">
        <f ca="1"/>
        <v>3.4914744834311133E-3</v>
      </c>
      <c r="U23" s="356">
        <f ca="1">T23-R23</f>
        <v>5.0388133011415436E-3</v>
      </c>
      <c r="W23" s="2"/>
      <c r="X23" s="2"/>
      <c r="AM23" s="2"/>
    </row>
    <row r="24" spans="2:41" ht="18.75" thickTop="1" x14ac:dyDescent="0.25">
      <c r="B24" s="92" t="s">
        <v>300</v>
      </c>
      <c r="C24" s="314"/>
      <c r="D24" s="357">
        <v>3</v>
      </c>
      <c r="E24" s="358">
        <f t="array" aca="1" ref="E24:E28" ca="1">F24:F28-MMULT($K$24:$O$28,G24:G28)</f>
        <v>-4.2956000000000001E-3</v>
      </c>
      <c r="F24" s="359">
        <f t="shared" ca="1" si="3"/>
        <v>-4.2956000000000001E-3</v>
      </c>
      <c r="G24" s="359">
        <f ca="1">SUMPRODUCT(F24:F24,$H$4:$H$4)/SUM($H$4:$H$4)-$E$4</f>
        <v>0</v>
      </c>
      <c r="H24" s="360">
        <f t="shared" ca="1" si="2"/>
        <v>0</v>
      </c>
      <c r="J24" s="1" t="s">
        <v>301</v>
      </c>
      <c r="K24" s="296">
        <f t="array" aca="1" ref="K24:O28" ca="1">MINVERSE(K13:O17)</f>
        <v>1</v>
      </c>
      <c r="L24" s="297">
        <f ca="1"/>
        <v>0</v>
      </c>
      <c r="M24" s="297">
        <f ca="1"/>
        <v>0</v>
      </c>
      <c r="N24" s="297">
        <f ca="1"/>
        <v>0</v>
      </c>
      <c r="O24" s="298">
        <f ca="1"/>
        <v>0</v>
      </c>
      <c r="P24" s="1"/>
      <c r="V24" s="119"/>
      <c r="W24" s="2"/>
      <c r="X24" s="2"/>
      <c r="AM24" s="2"/>
    </row>
    <row r="25" spans="2:41" ht="18" x14ac:dyDescent="0.25">
      <c r="B25" s="92" t="s">
        <v>300</v>
      </c>
      <c r="C25" s="314"/>
      <c r="D25" s="361"/>
      <c r="E25" s="362">
        <f ca="1"/>
        <v>-4.4282144357580683E-3</v>
      </c>
      <c r="F25" s="363">
        <f t="shared" ca="1" si="3"/>
        <v>-4.4282144357580683E-3</v>
      </c>
      <c r="G25" s="363">
        <f ca="1">SUMPRODUCT(F24:F25,$H$4:$H$5)/SUM($H$4:$H$5)-$E$5</f>
        <v>0</v>
      </c>
      <c r="H25" s="364">
        <f t="shared" ca="1" si="2"/>
        <v>0</v>
      </c>
      <c r="J25" s="1" t="s">
        <v>302</v>
      </c>
      <c r="K25" s="299">
        <f ca="1"/>
        <v>-1</v>
      </c>
      <c r="L25" s="300">
        <f ca="1"/>
        <v>2.0123586609722008</v>
      </c>
      <c r="M25" s="300">
        <f ca="1"/>
        <v>0</v>
      </c>
      <c r="N25" s="300">
        <f ca="1"/>
        <v>0</v>
      </c>
      <c r="O25" s="301">
        <f ca="1"/>
        <v>0</v>
      </c>
      <c r="P25" s="1"/>
      <c r="V25" s="119"/>
      <c r="AM25" s="2"/>
    </row>
    <row r="26" spans="2:41" ht="18" x14ac:dyDescent="0.25">
      <c r="B26" s="92" t="s">
        <v>300</v>
      </c>
      <c r="C26" s="314"/>
      <c r="D26" s="361"/>
      <c r="E26" s="362">
        <f ca="1"/>
        <v>-3.6534341340999955E-3</v>
      </c>
      <c r="F26" s="363">
        <f t="shared" ca="1" si="3"/>
        <v>-3.6534341340999955E-3</v>
      </c>
      <c r="G26" s="363">
        <f ca="1">SUMPRODUCT(F24:F26,$H$4:$H$6)/SUM($H$4:$H$6)-$E$6</f>
        <v>0</v>
      </c>
      <c r="H26" s="364">
        <f t="shared" ca="1" si="2"/>
        <v>0</v>
      </c>
      <c r="I26" s="2"/>
      <c r="J26" s="1" t="s">
        <v>303</v>
      </c>
      <c r="K26" s="299">
        <f ca="1"/>
        <v>0</v>
      </c>
      <c r="L26" s="300">
        <f ca="1"/>
        <v>-2.0376056023166229</v>
      </c>
      <c r="M26" s="300">
        <f ca="1"/>
        <v>3.0376056023166229</v>
      </c>
      <c r="N26" s="300">
        <f ca="1"/>
        <v>0</v>
      </c>
      <c r="O26" s="301">
        <f ca="1"/>
        <v>0</v>
      </c>
      <c r="P26" s="1"/>
      <c r="V26" s="119"/>
      <c r="AM26" s="2"/>
    </row>
    <row r="27" spans="2:41" ht="18" x14ac:dyDescent="0.25">
      <c r="B27" s="92" t="s">
        <v>300</v>
      </c>
      <c r="C27" s="314"/>
      <c r="D27" s="361"/>
      <c r="E27" s="362">
        <f ca="1"/>
        <v>-2.7682177419354839E-3</v>
      </c>
      <c r="F27" s="363">
        <f t="shared" ca="1" si="3"/>
        <v>-2.7682177419354839E-3</v>
      </c>
      <c r="G27" s="363">
        <f ca="1">SUMPRODUCT(F24:F27,$H$4:$H$7)/SUM($H$4:$H$7)-$E$7</f>
        <v>0</v>
      </c>
      <c r="H27" s="364">
        <f t="shared" ca="1" si="2"/>
        <v>0</v>
      </c>
      <c r="I27" s="2"/>
      <c r="J27" s="1" t="s">
        <v>304</v>
      </c>
      <c r="K27" s="299">
        <f ca="1"/>
        <v>0</v>
      </c>
      <c r="L27" s="300">
        <f ca="1"/>
        <v>0</v>
      </c>
      <c r="M27" s="300">
        <f ca="1"/>
        <v>-3.0772849462365595</v>
      </c>
      <c r="N27" s="300">
        <f ca="1"/>
        <v>4.077284946236559</v>
      </c>
      <c r="O27" s="301">
        <f ca="1"/>
        <v>0</v>
      </c>
      <c r="P27" s="1"/>
      <c r="V27" s="119"/>
      <c r="AM27" s="2"/>
    </row>
    <row r="28" spans="2:41" ht="18.75" thickBot="1" x14ac:dyDescent="0.3">
      <c r="B28" s="92" t="s">
        <v>300</v>
      </c>
      <c r="C28" s="314"/>
      <c r="D28" s="365"/>
      <c r="E28" s="366">
        <f ca="1"/>
        <v>-1.5473388177104301E-3</v>
      </c>
      <c r="F28" s="367">
        <f t="shared" ca="1" si="3"/>
        <v>-1.5473388177104301E-3</v>
      </c>
      <c r="G28" s="367">
        <f ca="1">SUMPRODUCT(F24:F28,$H$4:$H$8)/SUM($H$4:$H$8)-$E$8</f>
        <v>0</v>
      </c>
      <c r="H28" s="368">
        <f t="shared" ca="1" si="2"/>
        <v>0</v>
      </c>
      <c r="I28" s="2"/>
      <c r="J28" s="1" t="s">
        <v>305</v>
      </c>
      <c r="K28" s="302">
        <f ca="1"/>
        <v>0</v>
      </c>
      <c r="L28" s="303">
        <f ca="1"/>
        <v>2.8490330572381331E-16</v>
      </c>
      <c r="M28" s="303">
        <f ca="1"/>
        <v>-5.6980661144762662E-16</v>
      </c>
      <c r="N28" s="303">
        <f ca="1"/>
        <v>-4.1323616859775525</v>
      </c>
      <c r="O28" s="304">
        <f ca="1"/>
        <v>5.1323616859775525</v>
      </c>
      <c r="P28" s="1"/>
      <c r="V28" s="119"/>
      <c r="AM28" s="2"/>
    </row>
    <row r="29" spans="2:41" ht="15.75" thickTop="1" x14ac:dyDescent="0.25">
      <c r="D29" s="285">
        <v>4</v>
      </c>
      <c r="E29" s="286">
        <f t="array" aca="1" ref="E29:E33" ca="1">F29:F33-MMULT($K$24:$O$28,G29:G33)</f>
        <v>-4.2956000000000001E-3</v>
      </c>
      <c r="F29" s="293">
        <f t="shared" ca="1" si="3"/>
        <v>-4.2956000000000001E-3</v>
      </c>
      <c r="G29" s="286">
        <f ca="1">SUMPRODUCT(F29:F29,$H$4:$H$4)/SUM($H$4:$H$4)-$E$4</f>
        <v>0</v>
      </c>
      <c r="H29" s="287">
        <f t="shared" ca="1" si="2"/>
        <v>0</v>
      </c>
      <c r="I29" s="2"/>
      <c r="AM29" s="2"/>
      <c r="AN29" s="179" t="s">
        <v>286</v>
      </c>
    </row>
    <row r="30" spans="2:41" x14ac:dyDescent="0.25">
      <c r="D30" s="288"/>
      <c r="E30" s="284">
        <f ca="1"/>
        <v>-4.4282144357580683E-3</v>
      </c>
      <c r="F30" s="294">
        <f t="shared" ca="1" si="3"/>
        <v>-4.4282144357580683E-3</v>
      </c>
      <c r="G30" s="284">
        <f ca="1">SUMPRODUCT(F29:F30,$H$4:$H$5)/SUM($H$4:$H$5)-$E$5</f>
        <v>0</v>
      </c>
      <c r="H30" s="289">
        <f t="shared" ca="1" si="2"/>
        <v>0</v>
      </c>
      <c r="I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2:41" x14ac:dyDescent="0.25">
      <c r="D31" s="288"/>
      <c r="E31" s="284">
        <f ca="1"/>
        <v>-3.6534341340999955E-3</v>
      </c>
      <c r="F31" s="294">
        <f t="shared" ca="1" si="3"/>
        <v>-3.6534341340999955E-3</v>
      </c>
      <c r="G31" s="284">
        <f ca="1">SUMPRODUCT(F29:F31,$H$4:$H$6)/SUM($H$4:$H$6)-$E$6</f>
        <v>0</v>
      </c>
      <c r="H31" s="289">
        <f t="shared" ca="1" si="2"/>
        <v>0</v>
      </c>
      <c r="I31" s="2"/>
      <c r="J31" s="2"/>
      <c r="K31" s="2"/>
      <c r="L31" s="2"/>
      <c r="M31" s="2"/>
      <c r="N31" s="2"/>
      <c r="P31" s="1"/>
      <c r="Q31" s="1"/>
      <c r="R31" s="1"/>
      <c r="S31" s="1"/>
      <c r="T31" s="1"/>
      <c r="U31" s="1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2:41" x14ac:dyDescent="0.25">
      <c r="D32" s="288"/>
      <c r="E32" s="284">
        <f ca="1"/>
        <v>-2.7682177419354839E-3</v>
      </c>
      <c r="F32" s="294">
        <f t="shared" ca="1" si="3"/>
        <v>-2.7682177419354839E-3</v>
      </c>
      <c r="G32" s="284">
        <f ca="1">SUMPRODUCT(F29:F32,$H$4:$H$7)/SUM($H$4:$H$7)-$E$7</f>
        <v>0</v>
      </c>
      <c r="H32" s="289">
        <f t="shared" ca="1" si="2"/>
        <v>0</v>
      </c>
      <c r="I32" s="2"/>
      <c r="J32" s="2"/>
      <c r="K32" s="2"/>
      <c r="L32" s="2"/>
      <c r="M32" s="2"/>
      <c r="N32" s="2"/>
      <c r="O32" s="4"/>
      <c r="P32" s="4"/>
      <c r="Q32" s="4"/>
      <c r="R32" s="4"/>
      <c r="S32" s="4"/>
      <c r="T32" s="4"/>
      <c r="U32" s="4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4:39" x14ac:dyDescent="0.25">
      <c r="D33" s="290"/>
      <c r="E33" s="291">
        <f ca="1"/>
        <v>-1.5473388177104301E-3</v>
      </c>
      <c r="F33" s="295">
        <f t="shared" ca="1" si="3"/>
        <v>-1.5473388177104301E-3</v>
      </c>
      <c r="G33" s="291">
        <f ca="1">SUMPRODUCT(F29:F33,$H$4:$H$8)/SUM($H$4:$H$8)-$E$8</f>
        <v>0</v>
      </c>
      <c r="H33" s="292">
        <f t="shared" ca="1" si="2"/>
        <v>0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4:39" x14ac:dyDescent="0.25">
      <c r="D34" s="285">
        <v>5</v>
      </c>
      <c r="E34" s="286">
        <f t="array" aca="1" ref="E34:E38" ca="1">F34:F38-MMULT($K$24:$O$28,G34:G38)</f>
        <v>-4.2956000000000001E-3</v>
      </c>
      <c r="F34" s="293">
        <f t="shared" ca="1" si="3"/>
        <v>-4.2956000000000001E-3</v>
      </c>
      <c r="G34" s="286">
        <f ca="1">SUMPRODUCT(F34:F34,$H$4:$H$4)/SUM($H$4:$H$4)-$E$4</f>
        <v>0</v>
      </c>
      <c r="H34" s="287">
        <f t="shared" ca="1" si="2"/>
        <v>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4:39" x14ac:dyDescent="0.25">
      <c r="D35" s="288"/>
      <c r="E35" s="284">
        <f ca="1"/>
        <v>-4.4282144357580683E-3</v>
      </c>
      <c r="F35" s="294">
        <f t="shared" ca="1" si="3"/>
        <v>-4.4282144357580683E-3</v>
      </c>
      <c r="G35" s="284">
        <f ca="1">SUMPRODUCT(F34:F35,$H$4:$H$5)/SUM($H$4:$H$5)-$E$5</f>
        <v>0</v>
      </c>
      <c r="H35" s="289">
        <f t="shared" ca="1" si="2"/>
        <v>0</v>
      </c>
      <c r="I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4:39" x14ac:dyDescent="0.25">
      <c r="D36" s="288"/>
      <c r="E36" s="284">
        <f ca="1"/>
        <v>-3.6534341340999955E-3</v>
      </c>
      <c r="F36" s="294">
        <f t="shared" ca="1" si="3"/>
        <v>-3.6534341340999955E-3</v>
      </c>
      <c r="G36" s="284">
        <f ca="1">SUMPRODUCT(F34:F36,$H$4:$H$6)/SUM($H$4:$H$6)-$E$6</f>
        <v>0</v>
      </c>
      <c r="H36" s="289">
        <f t="shared" ca="1" si="2"/>
        <v>0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4:39" x14ac:dyDescent="0.25">
      <c r="D37" s="288"/>
      <c r="E37" s="284">
        <f ca="1"/>
        <v>-2.7682177419354839E-3</v>
      </c>
      <c r="F37" s="294">
        <f t="shared" ca="1" si="3"/>
        <v>-2.7682177419354839E-3</v>
      </c>
      <c r="G37" s="284">
        <f ca="1">SUMPRODUCT(F34:F37,$H$4:$H$7)/SUM($H$4:$H$7)-$E$7</f>
        <v>0</v>
      </c>
      <c r="H37" s="289">
        <f t="shared" ca="1" si="2"/>
        <v>0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4:39" x14ac:dyDescent="0.25">
      <c r="D38" s="290"/>
      <c r="E38" s="291">
        <f ca="1"/>
        <v>-1.5473388177104301E-3</v>
      </c>
      <c r="F38" s="295">
        <f t="shared" ca="1" si="3"/>
        <v>-1.5473388177104301E-3</v>
      </c>
      <c r="G38" s="291">
        <f ca="1">SUMPRODUCT(F34:F38,$H$4:$H$8)/SUM($H$4:$H$8)-$E$8</f>
        <v>0</v>
      </c>
      <c r="H38" s="292">
        <f t="shared" ca="1" si="2"/>
        <v>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</row>
    <row r="39" spans="4:39" x14ac:dyDescent="0.25"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AM39" s="2"/>
    </row>
    <row r="40" spans="4:39" x14ac:dyDescent="0.25">
      <c r="AM40" s="2"/>
    </row>
    <row r="41" spans="4:39" x14ac:dyDescent="0.25">
      <c r="AM41" s="2"/>
    </row>
    <row r="42" spans="4:39" x14ac:dyDescent="0.25">
      <c r="AM42" s="2"/>
    </row>
    <row r="43" spans="4:39" x14ac:dyDescent="0.25">
      <c r="D43" s="2"/>
      <c r="E43" s="281"/>
      <c r="F43" s="281"/>
      <c r="G43" s="281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4:39" x14ac:dyDescent="0.25">
      <c r="D44" s="2"/>
      <c r="E44" s="281"/>
      <c r="F44" s="281"/>
      <c r="G44" s="28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4:39" x14ac:dyDescent="0.25">
      <c r="D45" s="2"/>
      <c r="E45" s="281"/>
      <c r="F45" s="281"/>
      <c r="G45" s="28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4:39" x14ac:dyDescent="0.25">
      <c r="D46" s="2"/>
      <c r="E46" s="281"/>
      <c r="F46" s="281"/>
      <c r="G46" s="28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</row>
  </sheetData>
  <hyperlinks>
    <hyperlink ref="BE3" r:id="rId1"/>
  </hyperlinks>
  <pageMargins left="0.7" right="0.7" top="0.75" bottom="0.75" header="0.3" footer="0.3"/>
  <pageSetup paperSize="9" orientation="portrait" r:id="rId2"/>
  <ignoredErrors>
    <ignoredError sqref="T9:T12 K14:N16" formulaRange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B2:AB38"/>
  <sheetViews>
    <sheetView showGridLines="0" workbookViewId="0"/>
  </sheetViews>
  <sheetFormatPr defaultRowHeight="15" x14ac:dyDescent="0.25"/>
  <cols>
    <col min="6" max="7" width="9.140625" customWidth="1"/>
  </cols>
  <sheetData>
    <row r="2" spans="2:28" x14ac:dyDescent="0.25">
      <c r="B2" s="13" t="s">
        <v>34</v>
      </c>
      <c r="C2" s="13"/>
      <c r="E2" s="13"/>
    </row>
    <row r="4" spans="2:28" x14ac:dyDescent="0.25">
      <c r="E4" s="415" t="s">
        <v>95</v>
      </c>
      <c r="F4" s="416"/>
      <c r="G4" s="416"/>
      <c r="H4" s="416"/>
      <c r="J4" s="418" t="s">
        <v>30</v>
      </c>
      <c r="K4" s="419"/>
      <c r="L4" s="419"/>
      <c r="M4" s="419"/>
      <c r="O4" s="456" t="s">
        <v>31</v>
      </c>
      <c r="P4" s="457"/>
      <c r="Q4" s="457"/>
      <c r="R4" s="457"/>
      <c r="T4" s="459" t="s">
        <v>32</v>
      </c>
      <c r="U4" s="460"/>
      <c r="V4" s="460"/>
      <c r="W4" s="460"/>
      <c r="Y4" s="443" t="s">
        <v>33</v>
      </c>
      <c r="Z4" s="444"/>
      <c r="AA4" s="444"/>
      <c r="AB4" s="444"/>
    </row>
    <row r="5" spans="2:28" ht="15.75" thickBot="1" x14ac:dyDescent="0.3">
      <c r="E5" s="417"/>
      <c r="F5" s="417"/>
      <c r="G5" s="417"/>
      <c r="H5" s="417"/>
      <c r="J5" s="419"/>
      <c r="K5" s="419"/>
      <c r="L5" s="419"/>
      <c r="M5" s="419"/>
      <c r="O5" s="457"/>
      <c r="P5" s="457"/>
      <c r="Q5" s="457"/>
      <c r="R5" s="457"/>
      <c r="T5" s="460"/>
      <c r="U5" s="460"/>
      <c r="V5" s="460"/>
      <c r="W5" s="460"/>
      <c r="Y5" s="444"/>
      <c r="Z5" s="444"/>
      <c r="AA5" s="444"/>
      <c r="AB5" s="444"/>
    </row>
    <row r="6" spans="2:28" ht="16.5" thickTop="1" thickBot="1" x14ac:dyDescent="0.3">
      <c r="E6" s="417"/>
      <c r="F6" s="417"/>
      <c r="G6" s="417"/>
      <c r="H6" s="417"/>
      <c r="J6" s="417"/>
      <c r="K6" s="417"/>
      <c r="L6" s="417"/>
      <c r="M6" s="417"/>
      <c r="O6" s="458"/>
      <c r="P6" s="458"/>
      <c r="Q6" s="458"/>
      <c r="R6" s="458"/>
      <c r="T6" s="461"/>
      <c r="U6" s="461"/>
      <c r="V6" s="461"/>
      <c r="W6" s="461"/>
      <c r="Y6" s="445"/>
      <c r="Z6" s="445"/>
      <c r="AA6" s="445"/>
      <c r="AB6" s="445"/>
    </row>
    <row r="7" spans="2:28" ht="15.75" thickTop="1" x14ac:dyDescent="0.25">
      <c r="C7" s="5"/>
      <c r="D7" s="5"/>
      <c r="J7" s="38"/>
      <c r="K7" s="38"/>
      <c r="L7" s="38"/>
      <c r="M7" s="38"/>
      <c r="O7" s="45"/>
      <c r="P7" s="45"/>
      <c r="Q7" s="45"/>
      <c r="R7" s="45"/>
      <c r="T7" s="41"/>
      <c r="U7" s="41"/>
      <c r="V7" s="41"/>
      <c r="W7" s="41"/>
    </row>
    <row r="8" spans="2:28" x14ac:dyDescent="0.25">
      <c r="C8" s="5"/>
      <c r="D8" s="5"/>
      <c r="J8" s="38"/>
      <c r="K8" s="38"/>
      <c r="L8" s="38"/>
      <c r="M8" s="38"/>
      <c r="O8" s="45"/>
      <c r="P8" s="45"/>
      <c r="Q8" s="45"/>
      <c r="R8" s="45"/>
      <c r="T8" s="41"/>
      <c r="U8" s="41"/>
      <c r="V8" s="41"/>
      <c r="W8" s="41"/>
    </row>
    <row r="9" spans="2:28" ht="15" customHeight="1" x14ac:dyDescent="0.25">
      <c r="B9" s="393" t="s">
        <v>93</v>
      </c>
      <c r="C9" s="90"/>
      <c r="D9" s="396" t="s">
        <v>57</v>
      </c>
      <c r="E9" s="429" t="s">
        <v>29</v>
      </c>
      <c r="F9" s="430"/>
      <c r="G9" s="430"/>
      <c r="H9" s="431"/>
      <c r="I9" s="395"/>
      <c r="J9" s="398" t="s">
        <v>72</v>
      </c>
      <c r="K9" s="399"/>
      <c r="L9" s="399"/>
      <c r="M9" s="400"/>
      <c r="N9" s="397"/>
      <c r="O9" s="421" t="s">
        <v>74</v>
      </c>
      <c r="P9" s="422"/>
      <c r="Q9" s="422"/>
      <c r="R9" s="423"/>
      <c r="S9" s="420"/>
      <c r="T9" s="436" t="s">
        <v>79</v>
      </c>
      <c r="U9" s="437"/>
      <c r="V9" s="437"/>
      <c r="W9" s="438"/>
      <c r="X9" s="454"/>
      <c r="Y9" s="446" t="s">
        <v>84</v>
      </c>
      <c r="Z9" s="447"/>
      <c r="AA9" s="447"/>
      <c r="AB9" s="448"/>
    </row>
    <row r="10" spans="2:28" ht="15" customHeight="1" x14ac:dyDescent="0.25">
      <c r="B10" s="394"/>
      <c r="C10" s="91"/>
      <c r="D10" s="396"/>
      <c r="E10" s="432"/>
      <c r="F10" s="402"/>
      <c r="G10" s="402"/>
      <c r="H10" s="403"/>
      <c r="I10" s="395"/>
      <c r="J10" s="401"/>
      <c r="K10" s="402"/>
      <c r="L10" s="402"/>
      <c r="M10" s="403"/>
      <c r="N10" s="397"/>
      <c r="O10" s="424"/>
      <c r="P10" s="402"/>
      <c r="Q10" s="402"/>
      <c r="R10" s="425"/>
      <c r="S10" s="420"/>
      <c r="T10" s="439"/>
      <c r="U10" s="402"/>
      <c r="V10" s="402"/>
      <c r="W10" s="403"/>
      <c r="X10" s="454"/>
      <c r="Y10" s="449"/>
      <c r="Z10" s="402"/>
      <c r="AA10" s="402"/>
      <c r="AB10" s="450"/>
    </row>
    <row r="11" spans="2:28" ht="15" customHeight="1" x14ac:dyDescent="0.25">
      <c r="B11" s="394"/>
      <c r="C11" s="91"/>
      <c r="D11" s="396"/>
      <c r="E11" s="432"/>
      <c r="F11" s="402"/>
      <c r="G11" s="402"/>
      <c r="H11" s="403"/>
      <c r="I11" s="395"/>
      <c r="J11" s="401"/>
      <c r="K11" s="402"/>
      <c r="L11" s="402"/>
      <c r="M11" s="403"/>
      <c r="N11" s="397"/>
      <c r="O11" s="424"/>
      <c r="P11" s="402"/>
      <c r="Q11" s="402"/>
      <c r="R11" s="425"/>
      <c r="S11" s="420"/>
      <c r="T11" s="439"/>
      <c r="U11" s="402"/>
      <c r="V11" s="402"/>
      <c r="W11" s="403"/>
      <c r="X11" s="454"/>
      <c r="Y11" s="449"/>
      <c r="Z11" s="402"/>
      <c r="AA11" s="402"/>
      <c r="AB11" s="450"/>
    </row>
    <row r="12" spans="2:28" ht="15" customHeight="1" x14ac:dyDescent="0.25">
      <c r="B12" s="394"/>
      <c r="C12" s="91"/>
      <c r="D12" s="396"/>
      <c r="E12" s="432"/>
      <c r="F12" s="402"/>
      <c r="G12" s="402"/>
      <c r="H12" s="403"/>
      <c r="I12" s="395"/>
      <c r="J12" s="401"/>
      <c r="K12" s="402"/>
      <c r="L12" s="402"/>
      <c r="M12" s="403"/>
      <c r="N12" s="397"/>
      <c r="O12" s="424"/>
      <c r="P12" s="402"/>
      <c r="Q12" s="402"/>
      <c r="R12" s="425"/>
      <c r="S12" s="420"/>
      <c r="T12" s="439"/>
      <c r="U12" s="402"/>
      <c r="V12" s="402"/>
      <c r="W12" s="403"/>
      <c r="X12" s="454"/>
      <c r="Y12" s="449"/>
      <c r="Z12" s="402"/>
      <c r="AA12" s="402"/>
      <c r="AB12" s="450"/>
    </row>
    <row r="13" spans="2:28" ht="15" customHeight="1" x14ac:dyDescent="0.25">
      <c r="B13" s="394"/>
      <c r="C13" s="91"/>
      <c r="D13" s="396"/>
      <c r="E13" s="433"/>
      <c r="F13" s="434"/>
      <c r="G13" s="434"/>
      <c r="H13" s="435"/>
      <c r="I13" s="395"/>
      <c r="J13" s="404"/>
      <c r="K13" s="405"/>
      <c r="L13" s="405"/>
      <c r="M13" s="406"/>
      <c r="N13" s="397"/>
      <c r="O13" s="426"/>
      <c r="P13" s="427"/>
      <c r="Q13" s="427"/>
      <c r="R13" s="428"/>
      <c r="S13" s="420"/>
      <c r="T13" s="440"/>
      <c r="U13" s="441"/>
      <c r="V13" s="441"/>
      <c r="W13" s="442"/>
      <c r="X13" s="454"/>
      <c r="Y13" s="451"/>
      <c r="Z13" s="452"/>
      <c r="AA13" s="452"/>
      <c r="AB13" s="453"/>
    </row>
    <row r="14" spans="2:28" x14ac:dyDescent="0.25">
      <c r="B14" s="394"/>
      <c r="C14" s="91"/>
      <c r="D14" s="36"/>
      <c r="E14" s="37"/>
      <c r="F14" s="44"/>
      <c r="G14" s="44"/>
      <c r="H14" s="37"/>
      <c r="I14" s="39"/>
      <c r="J14" s="39"/>
      <c r="K14" s="39"/>
      <c r="L14" s="39"/>
      <c r="M14" s="39"/>
      <c r="N14" s="46"/>
      <c r="O14" s="46"/>
      <c r="P14" s="46"/>
      <c r="Q14" s="46"/>
      <c r="R14" s="46"/>
      <c r="S14" s="42"/>
      <c r="T14" s="42"/>
      <c r="U14" s="42"/>
      <c r="V14" s="42"/>
      <c r="W14" s="42"/>
      <c r="X14" s="40"/>
      <c r="Y14" s="40"/>
      <c r="Z14" s="40"/>
      <c r="AA14" s="40"/>
      <c r="AB14" s="40"/>
    </row>
    <row r="15" spans="2:28" ht="15" customHeight="1" x14ac:dyDescent="0.25">
      <c r="B15" s="394"/>
      <c r="C15" s="91"/>
      <c r="D15" s="396" t="s">
        <v>58</v>
      </c>
      <c r="E15" s="429" t="s">
        <v>36</v>
      </c>
      <c r="F15" s="430"/>
      <c r="G15" s="430"/>
      <c r="H15" s="431"/>
      <c r="I15" s="395"/>
      <c r="J15" s="398" t="s">
        <v>155</v>
      </c>
      <c r="K15" s="399"/>
      <c r="L15" s="399"/>
      <c r="M15" s="400"/>
      <c r="N15" s="397"/>
      <c r="O15" s="421" t="s">
        <v>75</v>
      </c>
      <c r="P15" s="422"/>
      <c r="Q15" s="422"/>
      <c r="R15" s="423"/>
      <c r="S15" s="420"/>
      <c r="T15" s="436" t="s">
        <v>80</v>
      </c>
      <c r="U15" s="437"/>
      <c r="V15" s="437"/>
      <c r="W15" s="438"/>
      <c r="X15" s="454"/>
      <c r="Y15" s="446" t="s">
        <v>85</v>
      </c>
      <c r="Z15" s="447"/>
      <c r="AA15" s="447"/>
      <c r="AB15" s="448"/>
    </row>
    <row r="16" spans="2:28" ht="15" customHeight="1" x14ac:dyDescent="0.25">
      <c r="B16" s="394"/>
      <c r="C16" s="91"/>
      <c r="D16" s="396"/>
      <c r="E16" s="432"/>
      <c r="F16" s="402"/>
      <c r="G16" s="402"/>
      <c r="H16" s="403"/>
      <c r="I16" s="395"/>
      <c r="J16" s="401"/>
      <c r="K16" s="402"/>
      <c r="L16" s="402"/>
      <c r="M16" s="403"/>
      <c r="N16" s="397"/>
      <c r="O16" s="424"/>
      <c r="P16" s="402"/>
      <c r="Q16" s="402"/>
      <c r="R16" s="425"/>
      <c r="S16" s="420"/>
      <c r="T16" s="439"/>
      <c r="U16" s="402"/>
      <c r="V16" s="402"/>
      <c r="W16" s="403"/>
      <c r="X16" s="454"/>
      <c r="Y16" s="449"/>
      <c r="Z16" s="402"/>
      <c r="AA16" s="402"/>
      <c r="AB16" s="450"/>
    </row>
    <row r="17" spans="2:28" ht="15" customHeight="1" x14ac:dyDescent="0.25">
      <c r="B17" s="394"/>
      <c r="C17" s="91"/>
      <c r="D17" s="396"/>
      <c r="E17" s="432"/>
      <c r="F17" s="402"/>
      <c r="G17" s="402"/>
      <c r="H17" s="403"/>
      <c r="I17" s="395"/>
      <c r="J17" s="401"/>
      <c r="K17" s="402"/>
      <c r="L17" s="402"/>
      <c r="M17" s="403"/>
      <c r="N17" s="397"/>
      <c r="O17" s="424"/>
      <c r="P17" s="402"/>
      <c r="Q17" s="402"/>
      <c r="R17" s="425"/>
      <c r="S17" s="420"/>
      <c r="T17" s="439"/>
      <c r="U17" s="402"/>
      <c r="V17" s="402"/>
      <c r="W17" s="403"/>
      <c r="X17" s="454"/>
      <c r="Y17" s="449"/>
      <c r="Z17" s="402"/>
      <c r="AA17" s="402"/>
      <c r="AB17" s="450"/>
    </row>
    <row r="18" spans="2:28" ht="15" customHeight="1" x14ac:dyDescent="0.25">
      <c r="B18" s="394"/>
      <c r="C18" s="91"/>
      <c r="D18" s="396"/>
      <c r="E18" s="432"/>
      <c r="F18" s="402"/>
      <c r="G18" s="402"/>
      <c r="H18" s="403"/>
      <c r="I18" s="395"/>
      <c r="J18" s="401"/>
      <c r="K18" s="402"/>
      <c r="L18" s="402"/>
      <c r="M18" s="403"/>
      <c r="N18" s="397"/>
      <c r="O18" s="424"/>
      <c r="P18" s="402"/>
      <c r="Q18" s="402"/>
      <c r="R18" s="425"/>
      <c r="S18" s="420"/>
      <c r="T18" s="439"/>
      <c r="U18" s="402"/>
      <c r="V18" s="402"/>
      <c r="W18" s="403"/>
      <c r="X18" s="454"/>
      <c r="Y18" s="449"/>
      <c r="Z18" s="402"/>
      <c r="AA18" s="402"/>
      <c r="AB18" s="450"/>
    </row>
    <row r="19" spans="2:28" ht="15" customHeight="1" x14ac:dyDescent="0.25">
      <c r="B19" s="394"/>
      <c r="C19" s="91"/>
      <c r="D19" s="396"/>
      <c r="E19" s="433"/>
      <c r="F19" s="434"/>
      <c r="G19" s="434"/>
      <c r="H19" s="435"/>
      <c r="I19" s="395"/>
      <c r="J19" s="404"/>
      <c r="K19" s="405"/>
      <c r="L19" s="405"/>
      <c r="M19" s="406"/>
      <c r="N19" s="397"/>
      <c r="O19" s="426"/>
      <c r="P19" s="427"/>
      <c r="Q19" s="427"/>
      <c r="R19" s="428"/>
      <c r="S19" s="420"/>
      <c r="T19" s="440"/>
      <c r="U19" s="441"/>
      <c r="V19" s="441"/>
      <c r="W19" s="442"/>
      <c r="X19" s="454"/>
      <c r="Y19" s="451"/>
      <c r="Z19" s="452"/>
      <c r="AA19" s="452"/>
      <c r="AB19" s="453"/>
    </row>
    <row r="20" spans="2:28" x14ac:dyDescent="0.25">
      <c r="C20" s="5"/>
      <c r="D20" s="36"/>
      <c r="E20" s="37"/>
      <c r="F20" s="44"/>
      <c r="G20" s="44"/>
      <c r="H20" s="37"/>
      <c r="I20" s="39"/>
      <c r="J20" s="39"/>
      <c r="K20" s="39"/>
      <c r="L20" s="39"/>
      <c r="M20" s="39"/>
      <c r="N20" s="46"/>
      <c r="O20" s="46"/>
      <c r="P20" s="46"/>
      <c r="Q20" s="46"/>
      <c r="R20" s="46"/>
      <c r="S20" s="42"/>
      <c r="T20" s="42"/>
      <c r="U20" s="42"/>
      <c r="V20" s="42"/>
      <c r="W20" s="42"/>
      <c r="X20" s="40"/>
      <c r="Y20" s="40"/>
      <c r="Z20" s="40"/>
      <c r="AA20" s="40"/>
      <c r="AB20" s="40"/>
    </row>
    <row r="21" spans="2:28" ht="15" customHeight="1" x14ac:dyDescent="0.25">
      <c r="B21" s="393" t="s">
        <v>92</v>
      </c>
      <c r="C21" s="90"/>
      <c r="D21" s="396" t="s">
        <v>59</v>
      </c>
      <c r="E21" s="429" t="s">
        <v>37</v>
      </c>
      <c r="F21" s="430"/>
      <c r="G21" s="430"/>
      <c r="H21" s="431"/>
      <c r="I21" s="395"/>
      <c r="J21" s="398" t="s">
        <v>71</v>
      </c>
      <c r="K21" s="407"/>
      <c r="L21" s="407"/>
      <c r="M21" s="408"/>
      <c r="N21" s="397"/>
      <c r="O21" s="421" t="s">
        <v>76</v>
      </c>
      <c r="P21" s="422"/>
      <c r="Q21" s="422"/>
      <c r="R21" s="423"/>
      <c r="S21" s="420"/>
      <c r="T21" s="436" t="s">
        <v>81</v>
      </c>
      <c r="U21" s="437"/>
      <c r="V21" s="437"/>
      <c r="W21" s="438"/>
      <c r="X21" s="454"/>
      <c r="Y21" s="446" t="s">
        <v>87</v>
      </c>
      <c r="Z21" s="447"/>
      <c r="AA21" s="447"/>
      <c r="AB21" s="448"/>
    </row>
    <row r="22" spans="2:28" ht="15" customHeight="1" x14ac:dyDescent="0.25">
      <c r="B22" s="394"/>
      <c r="C22" s="91"/>
      <c r="D22" s="396"/>
      <c r="E22" s="432"/>
      <c r="F22" s="402"/>
      <c r="G22" s="402"/>
      <c r="H22" s="403"/>
      <c r="I22" s="395"/>
      <c r="J22" s="409"/>
      <c r="K22" s="410"/>
      <c r="L22" s="410"/>
      <c r="M22" s="411"/>
      <c r="N22" s="397"/>
      <c r="O22" s="424"/>
      <c r="P22" s="402"/>
      <c r="Q22" s="402"/>
      <c r="R22" s="425"/>
      <c r="S22" s="420"/>
      <c r="T22" s="439"/>
      <c r="U22" s="402"/>
      <c r="V22" s="402"/>
      <c r="W22" s="403"/>
      <c r="X22" s="454"/>
      <c r="Y22" s="449"/>
      <c r="Z22" s="402"/>
      <c r="AA22" s="402"/>
      <c r="AB22" s="450"/>
    </row>
    <row r="23" spans="2:28" ht="15" customHeight="1" x14ac:dyDescent="0.25">
      <c r="B23" s="394"/>
      <c r="C23" s="91"/>
      <c r="D23" s="396"/>
      <c r="E23" s="432"/>
      <c r="F23" s="402"/>
      <c r="G23" s="402"/>
      <c r="H23" s="403"/>
      <c r="I23" s="395"/>
      <c r="J23" s="409"/>
      <c r="K23" s="410"/>
      <c r="L23" s="410"/>
      <c r="M23" s="411"/>
      <c r="N23" s="397"/>
      <c r="O23" s="424"/>
      <c r="P23" s="402"/>
      <c r="Q23" s="402"/>
      <c r="R23" s="425"/>
      <c r="S23" s="420"/>
      <c r="T23" s="439"/>
      <c r="U23" s="402"/>
      <c r="V23" s="402"/>
      <c r="W23" s="403"/>
      <c r="X23" s="454"/>
      <c r="Y23" s="449"/>
      <c r="Z23" s="402"/>
      <c r="AA23" s="402"/>
      <c r="AB23" s="450"/>
    </row>
    <row r="24" spans="2:28" ht="15" customHeight="1" x14ac:dyDescent="0.25">
      <c r="B24" s="394"/>
      <c r="C24" s="91"/>
      <c r="D24" s="396"/>
      <c r="E24" s="432"/>
      <c r="F24" s="402"/>
      <c r="G24" s="402"/>
      <c r="H24" s="403"/>
      <c r="I24" s="395"/>
      <c r="J24" s="409"/>
      <c r="K24" s="410"/>
      <c r="L24" s="410"/>
      <c r="M24" s="411"/>
      <c r="N24" s="397"/>
      <c r="O24" s="424"/>
      <c r="P24" s="402"/>
      <c r="Q24" s="402"/>
      <c r="R24" s="425"/>
      <c r="S24" s="420"/>
      <c r="T24" s="439"/>
      <c r="U24" s="402"/>
      <c r="V24" s="402"/>
      <c r="W24" s="403"/>
      <c r="X24" s="454"/>
      <c r="Y24" s="449"/>
      <c r="Z24" s="402"/>
      <c r="AA24" s="402"/>
      <c r="AB24" s="450"/>
    </row>
    <row r="25" spans="2:28" ht="15" customHeight="1" x14ac:dyDescent="0.25">
      <c r="B25" s="394"/>
      <c r="C25" s="91"/>
      <c r="D25" s="396"/>
      <c r="E25" s="433"/>
      <c r="F25" s="434"/>
      <c r="G25" s="434"/>
      <c r="H25" s="435"/>
      <c r="I25" s="395"/>
      <c r="J25" s="412"/>
      <c r="K25" s="413"/>
      <c r="L25" s="413"/>
      <c r="M25" s="414"/>
      <c r="N25" s="397"/>
      <c r="O25" s="426"/>
      <c r="P25" s="427"/>
      <c r="Q25" s="427"/>
      <c r="R25" s="428"/>
      <c r="S25" s="420"/>
      <c r="T25" s="440"/>
      <c r="U25" s="441"/>
      <c r="V25" s="441"/>
      <c r="W25" s="442"/>
      <c r="X25" s="454"/>
      <c r="Y25" s="451"/>
      <c r="Z25" s="452"/>
      <c r="AA25" s="452"/>
      <c r="AB25" s="453"/>
    </row>
    <row r="26" spans="2:28" x14ac:dyDescent="0.25">
      <c r="B26" s="394"/>
      <c r="C26" s="91"/>
      <c r="D26" s="36"/>
      <c r="E26" s="37"/>
      <c r="F26" s="44"/>
      <c r="G26" s="44"/>
      <c r="H26" s="37"/>
      <c r="I26" s="39"/>
      <c r="J26" s="39"/>
      <c r="K26" s="39"/>
      <c r="L26" s="39"/>
      <c r="M26" s="39"/>
      <c r="N26" s="46"/>
      <c r="O26" s="46"/>
      <c r="P26" s="46"/>
      <c r="Q26" s="46"/>
      <c r="R26" s="46"/>
      <c r="S26" s="42"/>
      <c r="T26" s="42"/>
      <c r="U26" s="42"/>
      <c r="V26" s="42"/>
      <c r="W26" s="42"/>
      <c r="X26" s="40"/>
      <c r="Y26" s="40"/>
      <c r="Z26" s="40"/>
      <c r="AA26" s="40"/>
      <c r="AB26" s="40"/>
    </row>
    <row r="27" spans="2:28" ht="15" customHeight="1" x14ac:dyDescent="0.25">
      <c r="B27" s="394"/>
      <c r="C27" s="91"/>
      <c r="D27" s="396" t="s">
        <v>60</v>
      </c>
      <c r="E27" s="429" t="s">
        <v>37</v>
      </c>
      <c r="F27" s="430"/>
      <c r="G27" s="430"/>
      <c r="H27" s="431"/>
      <c r="I27" s="395"/>
      <c r="J27" s="398" t="s">
        <v>70</v>
      </c>
      <c r="K27" s="407"/>
      <c r="L27" s="407"/>
      <c r="M27" s="408"/>
      <c r="N27" s="397"/>
      <c r="O27" s="421" t="s">
        <v>77</v>
      </c>
      <c r="P27" s="422"/>
      <c r="Q27" s="422"/>
      <c r="R27" s="423"/>
      <c r="S27" s="420"/>
      <c r="T27" s="436" t="s">
        <v>82</v>
      </c>
      <c r="U27" s="437"/>
      <c r="V27" s="437"/>
      <c r="W27" s="438"/>
      <c r="X27" s="454"/>
      <c r="Y27" s="446" t="s">
        <v>86</v>
      </c>
      <c r="Z27" s="447"/>
      <c r="AA27" s="447"/>
      <c r="AB27" s="448"/>
    </row>
    <row r="28" spans="2:28" ht="15" customHeight="1" x14ac:dyDescent="0.25">
      <c r="B28" s="394"/>
      <c r="C28" s="91"/>
      <c r="D28" s="396"/>
      <c r="E28" s="432"/>
      <c r="F28" s="402"/>
      <c r="G28" s="402"/>
      <c r="H28" s="403"/>
      <c r="I28" s="395"/>
      <c r="J28" s="409"/>
      <c r="K28" s="410"/>
      <c r="L28" s="410"/>
      <c r="M28" s="411"/>
      <c r="N28" s="397"/>
      <c r="O28" s="424"/>
      <c r="P28" s="402"/>
      <c r="Q28" s="402"/>
      <c r="R28" s="425"/>
      <c r="S28" s="420"/>
      <c r="T28" s="439"/>
      <c r="U28" s="402"/>
      <c r="V28" s="402"/>
      <c r="W28" s="403"/>
      <c r="X28" s="454"/>
      <c r="Y28" s="449"/>
      <c r="Z28" s="402"/>
      <c r="AA28" s="402"/>
      <c r="AB28" s="450"/>
    </row>
    <row r="29" spans="2:28" ht="15" customHeight="1" x14ac:dyDescent="0.25">
      <c r="B29" s="394"/>
      <c r="C29" s="91"/>
      <c r="D29" s="396"/>
      <c r="E29" s="432"/>
      <c r="F29" s="402"/>
      <c r="G29" s="402"/>
      <c r="H29" s="403"/>
      <c r="I29" s="395"/>
      <c r="J29" s="409"/>
      <c r="K29" s="410"/>
      <c r="L29" s="410"/>
      <c r="M29" s="411"/>
      <c r="N29" s="397"/>
      <c r="O29" s="424"/>
      <c r="P29" s="402"/>
      <c r="Q29" s="402"/>
      <c r="R29" s="425"/>
      <c r="S29" s="420"/>
      <c r="T29" s="439"/>
      <c r="U29" s="402"/>
      <c r="V29" s="402"/>
      <c r="W29" s="403"/>
      <c r="X29" s="454"/>
      <c r="Y29" s="449"/>
      <c r="Z29" s="402"/>
      <c r="AA29" s="402"/>
      <c r="AB29" s="450"/>
    </row>
    <row r="30" spans="2:28" ht="15" customHeight="1" x14ac:dyDescent="0.25">
      <c r="B30" s="394"/>
      <c r="C30" s="91"/>
      <c r="D30" s="396"/>
      <c r="E30" s="432"/>
      <c r="F30" s="402"/>
      <c r="G30" s="402"/>
      <c r="H30" s="403"/>
      <c r="I30" s="395"/>
      <c r="J30" s="409"/>
      <c r="K30" s="410"/>
      <c r="L30" s="410"/>
      <c r="M30" s="411"/>
      <c r="N30" s="397"/>
      <c r="O30" s="424"/>
      <c r="P30" s="402"/>
      <c r="Q30" s="402"/>
      <c r="R30" s="425"/>
      <c r="S30" s="420"/>
      <c r="T30" s="439"/>
      <c r="U30" s="402"/>
      <c r="V30" s="402"/>
      <c r="W30" s="403"/>
      <c r="X30" s="454"/>
      <c r="Y30" s="449"/>
      <c r="Z30" s="402"/>
      <c r="AA30" s="402"/>
      <c r="AB30" s="450"/>
    </row>
    <row r="31" spans="2:28" ht="15" customHeight="1" x14ac:dyDescent="0.25">
      <c r="B31" s="394"/>
      <c r="C31" s="91"/>
      <c r="D31" s="396"/>
      <c r="E31" s="433"/>
      <c r="F31" s="434"/>
      <c r="G31" s="434"/>
      <c r="H31" s="435"/>
      <c r="I31" s="395"/>
      <c r="J31" s="412"/>
      <c r="K31" s="413"/>
      <c r="L31" s="413"/>
      <c r="M31" s="414"/>
      <c r="N31" s="397"/>
      <c r="O31" s="426"/>
      <c r="P31" s="427"/>
      <c r="Q31" s="427"/>
      <c r="R31" s="428"/>
      <c r="S31" s="420"/>
      <c r="T31" s="440"/>
      <c r="U31" s="441"/>
      <c r="V31" s="441"/>
      <c r="W31" s="442"/>
      <c r="X31" s="454"/>
      <c r="Y31" s="451"/>
      <c r="Z31" s="452"/>
      <c r="AA31" s="452"/>
      <c r="AB31" s="453"/>
    </row>
    <row r="32" spans="2:28" x14ac:dyDescent="0.25">
      <c r="B32" s="394"/>
      <c r="C32" s="91"/>
      <c r="D32" s="36"/>
      <c r="E32" s="37"/>
      <c r="F32" s="44"/>
      <c r="G32" s="44"/>
      <c r="H32" s="37"/>
      <c r="I32" s="39"/>
      <c r="J32" s="39"/>
      <c r="K32" s="39"/>
      <c r="L32" s="39"/>
      <c r="M32" s="39"/>
      <c r="N32" s="46"/>
      <c r="O32" s="46"/>
      <c r="P32" s="46"/>
      <c r="Q32" s="46"/>
      <c r="R32" s="46"/>
      <c r="S32" s="42"/>
      <c r="T32" s="42"/>
      <c r="U32" s="42"/>
      <c r="V32" s="42"/>
      <c r="W32" s="42"/>
    </row>
    <row r="33" spans="2:24" ht="15" customHeight="1" x14ac:dyDescent="0.25">
      <c r="B33" s="394"/>
      <c r="C33" s="91"/>
      <c r="D33" s="396" t="s">
        <v>61</v>
      </c>
      <c r="E33" s="429" t="s">
        <v>37</v>
      </c>
      <c r="F33" s="430"/>
      <c r="G33" s="430"/>
      <c r="H33" s="431"/>
      <c r="I33" s="395"/>
      <c r="J33" s="398" t="s">
        <v>73</v>
      </c>
      <c r="K33" s="407"/>
      <c r="L33" s="407"/>
      <c r="M33" s="408"/>
      <c r="N33" s="397"/>
      <c r="O33" s="421" t="s">
        <v>78</v>
      </c>
      <c r="P33" s="422"/>
      <c r="Q33" s="422"/>
      <c r="R33" s="423"/>
      <c r="S33" s="420"/>
      <c r="T33" s="436" t="s">
        <v>83</v>
      </c>
      <c r="U33" s="437"/>
      <c r="V33" s="437"/>
      <c r="W33" s="438"/>
      <c r="X33" s="455"/>
    </row>
    <row r="34" spans="2:24" ht="15" customHeight="1" x14ac:dyDescent="0.25">
      <c r="B34" s="394"/>
      <c r="C34" s="91"/>
      <c r="D34" s="396"/>
      <c r="E34" s="432"/>
      <c r="F34" s="402"/>
      <c r="G34" s="402"/>
      <c r="H34" s="403"/>
      <c r="I34" s="395"/>
      <c r="J34" s="409"/>
      <c r="K34" s="410"/>
      <c r="L34" s="410"/>
      <c r="M34" s="411"/>
      <c r="N34" s="397"/>
      <c r="O34" s="424"/>
      <c r="P34" s="402"/>
      <c r="Q34" s="402"/>
      <c r="R34" s="425"/>
      <c r="S34" s="420"/>
      <c r="T34" s="439"/>
      <c r="U34" s="402"/>
      <c r="V34" s="402"/>
      <c r="W34" s="403"/>
      <c r="X34" s="455"/>
    </row>
    <row r="35" spans="2:24" ht="15" customHeight="1" x14ac:dyDescent="0.25">
      <c r="B35" s="394"/>
      <c r="C35" s="91"/>
      <c r="D35" s="396"/>
      <c r="E35" s="432"/>
      <c r="F35" s="402"/>
      <c r="G35" s="402"/>
      <c r="H35" s="403"/>
      <c r="I35" s="395"/>
      <c r="J35" s="409"/>
      <c r="K35" s="410"/>
      <c r="L35" s="410"/>
      <c r="M35" s="411"/>
      <c r="N35" s="397"/>
      <c r="O35" s="424"/>
      <c r="P35" s="402"/>
      <c r="Q35" s="402"/>
      <c r="R35" s="425"/>
      <c r="S35" s="420"/>
      <c r="T35" s="439"/>
      <c r="U35" s="402"/>
      <c r="V35" s="402"/>
      <c r="W35" s="403"/>
      <c r="X35" s="455"/>
    </row>
    <row r="36" spans="2:24" ht="15" customHeight="1" x14ac:dyDescent="0.25">
      <c r="B36" s="394"/>
      <c r="C36" s="91"/>
      <c r="D36" s="396"/>
      <c r="E36" s="432"/>
      <c r="F36" s="402"/>
      <c r="G36" s="402"/>
      <c r="H36" s="403"/>
      <c r="I36" s="395"/>
      <c r="J36" s="409"/>
      <c r="K36" s="410"/>
      <c r="L36" s="410"/>
      <c r="M36" s="411"/>
      <c r="N36" s="397"/>
      <c r="O36" s="424"/>
      <c r="P36" s="402"/>
      <c r="Q36" s="402"/>
      <c r="R36" s="425"/>
      <c r="S36" s="420"/>
      <c r="T36" s="439"/>
      <c r="U36" s="402"/>
      <c r="V36" s="402"/>
      <c r="W36" s="403"/>
      <c r="X36" s="455"/>
    </row>
    <row r="37" spans="2:24" ht="15" customHeight="1" x14ac:dyDescent="0.25">
      <c r="B37" s="394"/>
      <c r="C37" s="91"/>
      <c r="D37" s="396"/>
      <c r="E37" s="433"/>
      <c r="F37" s="434"/>
      <c r="G37" s="434"/>
      <c r="H37" s="435"/>
      <c r="I37" s="395"/>
      <c r="J37" s="412"/>
      <c r="K37" s="413"/>
      <c r="L37" s="413"/>
      <c r="M37" s="414"/>
      <c r="N37" s="397"/>
      <c r="O37" s="426"/>
      <c r="P37" s="427"/>
      <c r="Q37" s="427"/>
      <c r="R37" s="428"/>
      <c r="S37" s="420"/>
      <c r="T37" s="440"/>
      <c r="U37" s="441"/>
      <c r="V37" s="441"/>
      <c r="W37" s="442"/>
      <c r="X37" s="455"/>
    </row>
    <row r="38" spans="2:24" x14ac:dyDescent="0.25">
      <c r="C38" s="5"/>
      <c r="D38" s="5"/>
    </row>
  </sheetData>
  <mergeCells count="56">
    <mergeCell ref="Y4:AB6"/>
    <mergeCell ref="O9:R13"/>
    <mergeCell ref="O15:R19"/>
    <mergeCell ref="T27:W31"/>
    <mergeCell ref="T33:W37"/>
    <mergeCell ref="Y9:AB13"/>
    <mergeCell ref="Y15:AB19"/>
    <mergeCell ref="Y21:AB25"/>
    <mergeCell ref="Y27:AB31"/>
    <mergeCell ref="X27:X31"/>
    <mergeCell ref="X33:X37"/>
    <mergeCell ref="X9:X13"/>
    <mergeCell ref="X15:X19"/>
    <mergeCell ref="X21:X25"/>
    <mergeCell ref="O4:R6"/>
    <mergeCell ref="T4:W6"/>
    <mergeCell ref="T9:W13"/>
    <mergeCell ref="T15:W19"/>
    <mergeCell ref="T21:W25"/>
    <mergeCell ref="S15:S19"/>
    <mergeCell ref="S21:S25"/>
    <mergeCell ref="E4:H6"/>
    <mergeCell ref="J4:M6"/>
    <mergeCell ref="N33:N37"/>
    <mergeCell ref="S9:S13"/>
    <mergeCell ref="O21:R25"/>
    <mergeCell ref="S33:S37"/>
    <mergeCell ref="O27:R31"/>
    <mergeCell ref="O33:R37"/>
    <mergeCell ref="S27:S31"/>
    <mergeCell ref="E9:H13"/>
    <mergeCell ref="E15:H19"/>
    <mergeCell ref="E21:H25"/>
    <mergeCell ref="E27:H31"/>
    <mergeCell ref="E33:H37"/>
    <mergeCell ref="J27:M31"/>
    <mergeCell ref="J33:M37"/>
    <mergeCell ref="N9:N13"/>
    <mergeCell ref="N15:N19"/>
    <mergeCell ref="N21:N25"/>
    <mergeCell ref="N27:N31"/>
    <mergeCell ref="J9:M13"/>
    <mergeCell ref="J15:M19"/>
    <mergeCell ref="J21:M25"/>
    <mergeCell ref="B9:B19"/>
    <mergeCell ref="B21:B37"/>
    <mergeCell ref="I33:I37"/>
    <mergeCell ref="D9:D13"/>
    <mergeCell ref="D15:D19"/>
    <mergeCell ref="D21:D25"/>
    <mergeCell ref="I9:I13"/>
    <mergeCell ref="I15:I19"/>
    <mergeCell ref="I21:I25"/>
    <mergeCell ref="I27:I31"/>
    <mergeCell ref="D27:D31"/>
    <mergeCell ref="D33:D3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B2:AK39"/>
  <sheetViews>
    <sheetView showGridLines="0" zoomScaleNormal="100" zoomScaleSheetLayoutView="100" workbookViewId="0"/>
  </sheetViews>
  <sheetFormatPr defaultRowHeight="15" x14ac:dyDescent="0.25"/>
  <cols>
    <col min="4" max="4" width="2.7109375" customWidth="1"/>
    <col min="9" max="9" width="2.7109375" customWidth="1"/>
    <col min="11" max="11" width="2.7109375" customWidth="1"/>
    <col min="16" max="16" width="2.7109375" customWidth="1"/>
    <col min="18" max="18" width="2.7109375" customWidth="1"/>
    <col min="23" max="23" width="2.7109375" customWidth="1"/>
    <col min="25" max="25" width="2.7109375" customWidth="1"/>
    <col min="30" max="30" width="2.7109375" customWidth="1"/>
    <col min="32" max="32" width="2.7109375" customWidth="1"/>
    <col min="37" max="37" width="2.7109375" customWidth="1"/>
  </cols>
  <sheetData>
    <row r="2" spans="2:37" x14ac:dyDescent="0.25">
      <c r="B2" s="13" t="s">
        <v>35</v>
      </c>
      <c r="E2" s="13"/>
    </row>
    <row r="4" spans="2:37" x14ac:dyDescent="0.25">
      <c r="E4" s="511" t="s">
        <v>94</v>
      </c>
      <c r="F4" s="512"/>
      <c r="G4" s="512"/>
      <c r="H4" s="512"/>
      <c r="L4" s="514" t="s">
        <v>30</v>
      </c>
      <c r="M4" s="515"/>
      <c r="N4" s="515"/>
      <c r="O4" s="515"/>
      <c r="S4" s="517" t="s">
        <v>31</v>
      </c>
      <c r="T4" s="518"/>
      <c r="U4" s="518"/>
      <c r="V4" s="518"/>
      <c r="Z4" s="520" t="s">
        <v>32</v>
      </c>
      <c r="AA4" s="521"/>
      <c r="AB4" s="521"/>
      <c r="AC4" s="521"/>
      <c r="AG4" s="523" t="s">
        <v>33</v>
      </c>
      <c r="AH4" s="524"/>
      <c r="AI4" s="524"/>
      <c r="AJ4" s="524"/>
    </row>
    <row r="5" spans="2:37" ht="15.75" thickBot="1" x14ac:dyDescent="0.3">
      <c r="E5" s="513"/>
      <c r="F5" s="513"/>
      <c r="G5" s="513"/>
      <c r="H5" s="513"/>
      <c r="L5" s="516"/>
      <c r="M5" s="516"/>
      <c r="N5" s="516"/>
      <c r="O5" s="516"/>
      <c r="S5" s="519"/>
      <c r="T5" s="519"/>
      <c r="U5" s="519"/>
      <c r="V5" s="519"/>
      <c r="Z5" s="522"/>
      <c r="AA5" s="522"/>
      <c r="AB5" s="522"/>
      <c r="AC5" s="522"/>
      <c r="AG5" s="525"/>
      <c r="AH5" s="525"/>
      <c r="AI5" s="525"/>
      <c r="AJ5" s="525"/>
    </row>
    <row r="6" spans="2:37" ht="15.75" thickTop="1" x14ac:dyDescent="0.25">
      <c r="L6" s="38"/>
      <c r="M6" s="38"/>
      <c r="N6" s="38"/>
      <c r="O6" s="38"/>
      <c r="S6" s="45"/>
      <c r="T6" s="45"/>
      <c r="U6" s="45"/>
      <c r="V6" s="45"/>
      <c r="Z6" s="41"/>
      <c r="AA6" s="41"/>
      <c r="AB6" s="41"/>
      <c r="AC6" s="41"/>
    </row>
    <row r="7" spans="2:37" ht="15" customHeight="1" x14ac:dyDescent="0.25">
      <c r="D7" s="532" t="s">
        <v>97</v>
      </c>
      <c r="E7" s="533"/>
      <c r="F7" s="533"/>
      <c r="G7" s="533"/>
      <c r="H7" s="533"/>
      <c r="I7" s="533"/>
      <c r="J7" s="33"/>
      <c r="K7" s="419" t="s">
        <v>97</v>
      </c>
      <c r="L7" s="527"/>
      <c r="M7" s="527"/>
      <c r="N7" s="527"/>
      <c r="O7" s="527"/>
      <c r="P7" s="527"/>
      <c r="Q7" s="33"/>
      <c r="R7" s="528" t="s">
        <v>97</v>
      </c>
      <c r="S7" s="529"/>
      <c r="T7" s="529"/>
      <c r="U7" s="529"/>
      <c r="V7" s="529"/>
      <c r="W7" s="529"/>
      <c r="X7" s="33"/>
      <c r="Y7" s="460" t="s">
        <v>97</v>
      </c>
      <c r="Z7" s="530"/>
      <c r="AA7" s="530"/>
      <c r="AB7" s="530"/>
      <c r="AC7" s="530"/>
      <c r="AD7" s="530"/>
      <c r="AE7" s="33"/>
      <c r="AF7" s="444" t="s">
        <v>97</v>
      </c>
      <c r="AG7" s="531"/>
      <c r="AH7" s="531"/>
      <c r="AI7" s="531"/>
      <c r="AJ7" s="531"/>
      <c r="AK7" s="531"/>
    </row>
    <row r="8" spans="2:37" x14ac:dyDescent="0.25">
      <c r="D8" s="533"/>
      <c r="E8" s="533"/>
      <c r="F8" s="533"/>
      <c r="G8" s="533"/>
      <c r="H8" s="533"/>
      <c r="I8" s="533"/>
      <c r="J8" s="33"/>
      <c r="K8" s="527"/>
      <c r="L8" s="527"/>
      <c r="M8" s="527"/>
      <c r="N8" s="527"/>
      <c r="O8" s="527"/>
      <c r="P8" s="527"/>
      <c r="Q8" s="33"/>
      <c r="R8" s="529"/>
      <c r="S8" s="529"/>
      <c r="T8" s="529"/>
      <c r="U8" s="529"/>
      <c r="V8" s="529"/>
      <c r="W8" s="529"/>
      <c r="X8" s="33"/>
      <c r="Y8" s="530"/>
      <c r="Z8" s="530"/>
      <c r="AA8" s="530"/>
      <c r="AB8" s="530"/>
      <c r="AC8" s="530"/>
      <c r="AD8" s="530"/>
      <c r="AE8" s="33"/>
      <c r="AF8" s="531"/>
      <c r="AG8" s="531"/>
      <c r="AH8" s="531"/>
      <c r="AI8" s="531"/>
      <c r="AJ8" s="531"/>
      <c r="AK8" s="531"/>
    </row>
    <row r="9" spans="2:37" x14ac:dyDescent="0.25">
      <c r="D9" s="47"/>
      <c r="E9" s="48"/>
      <c r="F9" s="48"/>
      <c r="G9" s="48"/>
      <c r="H9" s="48"/>
      <c r="I9" s="49"/>
      <c r="K9" s="55"/>
      <c r="L9" s="64"/>
      <c r="M9" s="64"/>
      <c r="N9" s="64"/>
      <c r="O9" s="64"/>
      <c r="P9" s="56"/>
      <c r="R9" s="95"/>
      <c r="S9" s="62"/>
      <c r="T9" s="62"/>
      <c r="U9" s="62"/>
      <c r="V9" s="62"/>
      <c r="W9" s="96"/>
      <c r="Y9" s="102"/>
      <c r="Z9" s="63"/>
      <c r="AA9" s="63"/>
      <c r="AB9" s="63"/>
      <c r="AC9" s="63"/>
      <c r="AD9" s="103"/>
      <c r="AF9" s="109"/>
      <c r="AG9" s="110"/>
      <c r="AH9" s="110"/>
      <c r="AI9" s="110"/>
      <c r="AJ9" s="110"/>
      <c r="AK9" s="111"/>
    </row>
    <row r="10" spans="2:37" ht="15" customHeight="1" x14ac:dyDescent="0.25">
      <c r="B10" s="526" t="s">
        <v>93</v>
      </c>
      <c r="C10" s="94"/>
      <c r="D10" s="50"/>
      <c r="E10" s="534" t="s">
        <v>29</v>
      </c>
      <c r="F10" s="535"/>
      <c r="G10" s="535"/>
      <c r="H10" s="536"/>
      <c r="I10" s="51"/>
      <c r="J10" s="37"/>
      <c r="K10" s="57"/>
      <c r="L10" s="549" t="s">
        <v>72</v>
      </c>
      <c r="M10" s="550"/>
      <c r="N10" s="550"/>
      <c r="O10" s="551"/>
      <c r="P10" s="58"/>
      <c r="Q10" s="37"/>
      <c r="R10" s="97"/>
      <c r="S10" s="498" t="s">
        <v>74</v>
      </c>
      <c r="T10" s="499"/>
      <c r="U10" s="499"/>
      <c r="V10" s="500"/>
      <c r="W10" s="98"/>
      <c r="X10" s="37"/>
      <c r="Y10" s="104"/>
      <c r="Z10" s="475" t="s">
        <v>79</v>
      </c>
      <c r="AA10" s="476"/>
      <c r="AB10" s="476"/>
      <c r="AC10" s="477"/>
      <c r="AD10" s="105"/>
      <c r="AE10" s="37"/>
      <c r="AF10" s="112"/>
      <c r="AG10" s="462" t="s">
        <v>84</v>
      </c>
      <c r="AH10" s="463"/>
      <c r="AI10" s="463"/>
      <c r="AJ10" s="464"/>
      <c r="AK10" s="113"/>
    </row>
    <row r="11" spans="2:37" ht="15" customHeight="1" x14ac:dyDescent="0.25">
      <c r="B11" s="526"/>
      <c r="C11" s="94"/>
      <c r="D11" s="50"/>
      <c r="E11" s="537"/>
      <c r="F11" s="538"/>
      <c r="G11" s="538"/>
      <c r="H11" s="539"/>
      <c r="I11" s="51"/>
      <c r="J11" s="37"/>
      <c r="K11" s="57"/>
      <c r="L11" s="491"/>
      <c r="M11" s="489"/>
      <c r="N11" s="489"/>
      <c r="O11" s="490"/>
      <c r="P11" s="58"/>
      <c r="Q11" s="37"/>
      <c r="R11" s="97"/>
      <c r="S11" s="501"/>
      <c r="T11" s="502"/>
      <c r="U11" s="502"/>
      <c r="V11" s="503"/>
      <c r="W11" s="98"/>
      <c r="X11" s="37"/>
      <c r="Y11" s="104"/>
      <c r="Z11" s="478"/>
      <c r="AA11" s="479"/>
      <c r="AB11" s="479"/>
      <c r="AC11" s="480"/>
      <c r="AD11" s="105"/>
      <c r="AE11" s="37"/>
      <c r="AF11" s="112"/>
      <c r="AG11" s="465"/>
      <c r="AH11" s="466"/>
      <c r="AI11" s="466"/>
      <c r="AJ11" s="467"/>
      <c r="AK11" s="113"/>
    </row>
    <row r="12" spans="2:37" ht="15" customHeight="1" x14ac:dyDescent="0.25">
      <c r="B12" s="526"/>
      <c r="C12" s="94"/>
      <c r="D12" s="50"/>
      <c r="E12" s="537"/>
      <c r="F12" s="538"/>
      <c r="G12" s="538"/>
      <c r="H12" s="539"/>
      <c r="I12" s="51"/>
      <c r="J12" s="37"/>
      <c r="K12" s="57"/>
      <c r="L12" s="491"/>
      <c r="M12" s="489"/>
      <c r="N12" s="489"/>
      <c r="O12" s="490"/>
      <c r="P12" s="58"/>
      <c r="Q12" s="37"/>
      <c r="R12" s="97"/>
      <c r="S12" s="501"/>
      <c r="T12" s="502"/>
      <c r="U12" s="502"/>
      <c r="V12" s="503"/>
      <c r="W12" s="98"/>
      <c r="X12" s="37"/>
      <c r="Y12" s="104"/>
      <c r="Z12" s="478"/>
      <c r="AA12" s="479"/>
      <c r="AB12" s="479"/>
      <c r="AC12" s="480"/>
      <c r="AD12" s="105"/>
      <c r="AE12" s="37"/>
      <c r="AF12" s="112"/>
      <c r="AG12" s="465"/>
      <c r="AH12" s="466"/>
      <c r="AI12" s="466"/>
      <c r="AJ12" s="467"/>
      <c r="AK12" s="113"/>
    </row>
    <row r="13" spans="2:37" ht="15" customHeight="1" x14ac:dyDescent="0.25">
      <c r="B13" s="526"/>
      <c r="C13" s="94"/>
      <c r="D13" s="50"/>
      <c r="E13" s="537"/>
      <c r="F13" s="538"/>
      <c r="G13" s="538"/>
      <c r="H13" s="539"/>
      <c r="I13" s="51"/>
      <c r="J13" s="37"/>
      <c r="K13" s="57"/>
      <c r="L13" s="491"/>
      <c r="M13" s="489"/>
      <c r="N13" s="489"/>
      <c r="O13" s="490"/>
      <c r="P13" s="58"/>
      <c r="Q13" s="37"/>
      <c r="R13" s="97"/>
      <c r="S13" s="501"/>
      <c r="T13" s="502"/>
      <c r="U13" s="502"/>
      <c r="V13" s="503"/>
      <c r="W13" s="98"/>
      <c r="X13" s="37"/>
      <c r="Y13" s="104"/>
      <c r="Z13" s="478"/>
      <c r="AA13" s="479"/>
      <c r="AB13" s="479"/>
      <c r="AC13" s="480"/>
      <c r="AD13" s="105"/>
      <c r="AE13" s="37"/>
      <c r="AF13" s="112"/>
      <c r="AG13" s="465"/>
      <c r="AH13" s="466"/>
      <c r="AI13" s="466"/>
      <c r="AJ13" s="467"/>
      <c r="AK13" s="113"/>
    </row>
    <row r="14" spans="2:37" ht="15" customHeight="1" x14ac:dyDescent="0.25">
      <c r="B14" s="526"/>
      <c r="C14" s="94"/>
      <c r="D14" s="50"/>
      <c r="E14" s="537"/>
      <c r="F14" s="538"/>
      <c r="G14" s="538"/>
      <c r="H14" s="539"/>
      <c r="I14" s="51"/>
      <c r="J14" s="37"/>
      <c r="K14" s="57"/>
      <c r="L14" s="491"/>
      <c r="M14" s="489"/>
      <c r="N14" s="489"/>
      <c r="O14" s="490"/>
      <c r="P14" s="58"/>
      <c r="Q14" s="37"/>
      <c r="R14" s="97"/>
      <c r="S14" s="501"/>
      <c r="T14" s="502"/>
      <c r="U14" s="502"/>
      <c r="V14" s="503"/>
      <c r="W14" s="98"/>
      <c r="X14" s="37"/>
      <c r="Y14" s="104"/>
      <c r="Z14" s="478"/>
      <c r="AA14" s="479"/>
      <c r="AB14" s="479"/>
      <c r="AC14" s="480"/>
      <c r="AD14" s="105"/>
      <c r="AE14" s="37"/>
      <c r="AF14" s="112"/>
      <c r="AG14" s="465"/>
      <c r="AH14" s="466"/>
      <c r="AI14" s="466"/>
      <c r="AJ14" s="467"/>
      <c r="AK14" s="113"/>
    </row>
    <row r="15" spans="2:37" ht="15" customHeight="1" x14ac:dyDescent="0.25">
      <c r="B15" s="526"/>
      <c r="C15" s="94"/>
      <c r="D15" s="50"/>
      <c r="E15" s="540" t="s">
        <v>36</v>
      </c>
      <c r="F15" s="541"/>
      <c r="G15" s="541"/>
      <c r="H15" s="542"/>
      <c r="I15" s="51"/>
      <c r="J15" s="37"/>
      <c r="K15" s="57"/>
      <c r="L15" s="488" t="s">
        <v>101</v>
      </c>
      <c r="M15" s="489"/>
      <c r="N15" s="489"/>
      <c r="O15" s="490"/>
      <c r="P15" s="58"/>
      <c r="Q15" s="37"/>
      <c r="R15" s="97"/>
      <c r="S15" s="504" t="s">
        <v>75</v>
      </c>
      <c r="T15" s="502"/>
      <c r="U15" s="502"/>
      <c r="V15" s="503"/>
      <c r="W15" s="98"/>
      <c r="X15" s="37"/>
      <c r="Y15" s="104"/>
      <c r="Z15" s="481" t="s">
        <v>80</v>
      </c>
      <c r="AA15" s="479"/>
      <c r="AB15" s="479"/>
      <c r="AC15" s="480"/>
      <c r="AD15" s="105"/>
      <c r="AE15" s="37"/>
      <c r="AF15" s="112"/>
      <c r="AG15" s="468" t="s">
        <v>85</v>
      </c>
      <c r="AH15" s="466"/>
      <c r="AI15" s="466"/>
      <c r="AJ15" s="467"/>
      <c r="AK15" s="113"/>
    </row>
    <row r="16" spans="2:37" ht="15" customHeight="1" x14ac:dyDescent="0.25">
      <c r="B16" s="526"/>
      <c r="C16" s="94"/>
      <c r="D16" s="50"/>
      <c r="E16" s="537"/>
      <c r="F16" s="538"/>
      <c r="G16" s="538"/>
      <c r="H16" s="539"/>
      <c r="I16" s="51"/>
      <c r="J16" s="37"/>
      <c r="K16" s="57"/>
      <c r="L16" s="491"/>
      <c r="M16" s="489"/>
      <c r="N16" s="489"/>
      <c r="O16" s="490"/>
      <c r="P16" s="58"/>
      <c r="Q16" s="37"/>
      <c r="R16" s="97"/>
      <c r="S16" s="501"/>
      <c r="T16" s="502"/>
      <c r="U16" s="502"/>
      <c r="V16" s="503"/>
      <c r="W16" s="98"/>
      <c r="X16" s="37"/>
      <c r="Y16" s="104"/>
      <c r="Z16" s="478"/>
      <c r="AA16" s="479"/>
      <c r="AB16" s="479"/>
      <c r="AC16" s="480"/>
      <c r="AD16" s="105"/>
      <c r="AE16" s="37"/>
      <c r="AF16" s="112"/>
      <c r="AG16" s="465"/>
      <c r="AH16" s="466"/>
      <c r="AI16" s="466"/>
      <c r="AJ16" s="467"/>
      <c r="AK16" s="113"/>
    </row>
    <row r="17" spans="2:37" ht="15" customHeight="1" x14ac:dyDescent="0.25">
      <c r="B17" s="526"/>
      <c r="C17" s="94"/>
      <c r="D17" s="50"/>
      <c r="E17" s="537"/>
      <c r="F17" s="538"/>
      <c r="G17" s="538"/>
      <c r="H17" s="539"/>
      <c r="I17" s="51"/>
      <c r="J17" s="37"/>
      <c r="K17" s="57"/>
      <c r="L17" s="491"/>
      <c r="M17" s="489"/>
      <c r="N17" s="489"/>
      <c r="O17" s="490"/>
      <c r="P17" s="58"/>
      <c r="Q17" s="37"/>
      <c r="R17" s="97"/>
      <c r="S17" s="501"/>
      <c r="T17" s="502"/>
      <c r="U17" s="502"/>
      <c r="V17" s="503"/>
      <c r="W17" s="98"/>
      <c r="X17" s="37"/>
      <c r="Y17" s="104"/>
      <c r="Z17" s="478"/>
      <c r="AA17" s="479"/>
      <c r="AB17" s="479"/>
      <c r="AC17" s="480"/>
      <c r="AD17" s="105"/>
      <c r="AE17" s="37"/>
      <c r="AF17" s="112"/>
      <c r="AG17" s="465"/>
      <c r="AH17" s="466"/>
      <c r="AI17" s="466"/>
      <c r="AJ17" s="467"/>
      <c r="AK17" s="113"/>
    </row>
    <row r="18" spans="2:37" ht="15" customHeight="1" x14ac:dyDescent="0.25">
      <c r="B18" s="526"/>
      <c r="C18" s="94"/>
      <c r="D18" s="50"/>
      <c r="E18" s="537"/>
      <c r="F18" s="538"/>
      <c r="G18" s="538"/>
      <c r="H18" s="539"/>
      <c r="I18" s="51"/>
      <c r="J18" s="37"/>
      <c r="K18" s="57"/>
      <c r="L18" s="491"/>
      <c r="M18" s="489"/>
      <c r="N18" s="489"/>
      <c r="O18" s="490"/>
      <c r="P18" s="58"/>
      <c r="Q18" s="37"/>
      <c r="R18" s="97"/>
      <c r="S18" s="501"/>
      <c r="T18" s="502"/>
      <c r="U18" s="502"/>
      <c r="V18" s="503"/>
      <c r="W18" s="98"/>
      <c r="X18" s="37"/>
      <c r="Y18" s="104"/>
      <c r="Z18" s="478"/>
      <c r="AA18" s="479"/>
      <c r="AB18" s="479"/>
      <c r="AC18" s="480"/>
      <c r="AD18" s="105"/>
      <c r="AE18" s="37"/>
      <c r="AF18" s="112"/>
      <c r="AG18" s="465"/>
      <c r="AH18" s="466"/>
      <c r="AI18" s="466"/>
      <c r="AJ18" s="467"/>
      <c r="AK18" s="113"/>
    </row>
    <row r="19" spans="2:37" ht="15" customHeight="1" x14ac:dyDescent="0.25">
      <c r="B19" s="526"/>
      <c r="C19" s="94"/>
      <c r="D19" s="50"/>
      <c r="E19" s="537"/>
      <c r="F19" s="538"/>
      <c r="G19" s="538"/>
      <c r="H19" s="539"/>
      <c r="I19" s="51"/>
      <c r="J19" s="37"/>
      <c r="K19" s="57"/>
      <c r="L19" s="491"/>
      <c r="M19" s="489"/>
      <c r="N19" s="489"/>
      <c r="O19" s="490"/>
      <c r="P19" s="58"/>
      <c r="Q19" s="37"/>
      <c r="R19" s="97"/>
      <c r="S19" s="501"/>
      <c r="T19" s="502"/>
      <c r="U19" s="502"/>
      <c r="V19" s="503"/>
      <c r="W19" s="98"/>
      <c r="X19" s="37"/>
      <c r="Y19" s="104"/>
      <c r="Z19" s="478"/>
      <c r="AA19" s="479"/>
      <c r="AB19" s="479"/>
      <c r="AC19" s="480"/>
      <c r="AD19" s="105"/>
      <c r="AE19" s="37"/>
      <c r="AF19" s="112"/>
      <c r="AG19" s="465"/>
      <c r="AH19" s="466"/>
      <c r="AI19" s="466"/>
      <c r="AJ19" s="467"/>
      <c r="AK19" s="113"/>
    </row>
    <row r="20" spans="2:37" ht="15" customHeight="1" x14ac:dyDescent="0.25">
      <c r="B20" s="526"/>
      <c r="C20" s="94"/>
      <c r="D20" s="50"/>
      <c r="E20" s="543"/>
      <c r="F20" s="544"/>
      <c r="G20" s="544"/>
      <c r="H20" s="545"/>
      <c r="I20" s="51"/>
      <c r="J20" s="37"/>
      <c r="K20" s="57"/>
      <c r="L20" s="491"/>
      <c r="M20" s="489"/>
      <c r="N20" s="489"/>
      <c r="O20" s="490"/>
      <c r="P20" s="58"/>
      <c r="Q20" s="37"/>
      <c r="R20" s="97"/>
      <c r="S20" s="501"/>
      <c r="T20" s="502"/>
      <c r="U20" s="502"/>
      <c r="V20" s="503"/>
      <c r="W20" s="98"/>
      <c r="X20" s="37"/>
      <c r="Y20" s="104"/>
      <c r="Z20" s="478"/>
      <c r="AA20" s="479"/>
      <c r="AB20" s="479"/>
      <c r="AC20" s="480"/>
      <c r="AD20" s="105"/>
      <c r="AE20" s="37"/>
      <c r="AF20" s="112"/>
      <c r="AG20" s="465"/>
      <c r="AH20" s="466"/>
      <c r="AI20" s="466"/>
      <c r="AJ20" s="467"/>
      <c r="AK20" s="113"/>
    </row>
    <row r="21" spans="2:37" ht="15" customHeight="1" x14ac:dyDescent="0.25">
      <c r="B21" s="526" t="s">
        <v>96</v>
      </c>
      <c r="D21" s="50"/>
      <c r="E21" s="540" t="s">
        <v>37</v>
      </c>
      <c r="F21" s="541"/>
      <c r="G21" s="541"/>
      <c r="H21" s="542"/>
      <c r="I21" s="51"/>
      <c r="J21" s="37"/>
      <c r="K21" s="57"/>
      <c r="L21" s="488" t="s">
        <v>71</v>
      </c>
      <c r="M21" s="489"/>
      <c r="N21" s="489"/>
      <c r="O21" s="490"/>
      <c r="P21" s="58"/>
      <c r="Q21" s="37"/>
      <c r="R21" s="97"/>
      <c r="S21" s="501" t="s">
        <v>98</v>
      </c>
      <c r="T21" s="502"/>
      <c r="U21" s="502"/>
      <c r="V21" s="503"/>
      <c r="W21" s="98"/>
      <c r="X21" s="37"/>
      <c r="Y21" s="104"/>
      <c r="Z21" s="481" t="s">
        <v>81</v>
      </c>
      <c r="AA21" s="479"/>
      <c r="AB21" s="479"/>
      <c r="AC21" s="480"/>
      <c r="AD21" s="105"/>
      <c r="AE21" s="37"/>
      <c r="AF21" s="112"/>
      <c r="AG21" s="468" t="s">
        <v>87</v>
      </c>
      <c r="AH21" s="466"/>
      <c r="AI21" s="466"/>
      <c r="AJ21" s="467"/>
      <c r="AK21" s="113"/>
    </row>
    <row r="22" spans="2:37" ht="15" customHeight="1" x14ac:dyDescent="0.25">
      <c r="B22" s="526"/>
      <c r="C22" s="94"/>
      <c r="D22" s="50"/>
      <c r="E22" s="537"/>
      <c r="F22" s="538"/>
      <c r="G22" s="538"/>
      <c r="H22" s="539"/>
      <c r="I22" s="51"/>
      <c r="J22" s="37"/>
      <c r="K22" s="57"/>
      <c r="L22" s="491"/>
      <c r="M22" s="489"/>
      <c r="N22" s="489"/>
      <c r="O22" s="490"/>
      <c r="P22" s="58"/>
      <c r="Q22" s="37"/>
      <c r="R22" s="97"/>
      <c r="S22" s="501"/>
      <c r="T22" s="502"/>
      <c r="U22" s="502"/>
      <c r="V22" s="503"/>
      <c r="W22" s="98"/>
      <c r="X22" s="37"/>
      <c r="Y22" s="104"/>
      <c r="Z22" s="478"/>
      <c r="AA22" s="479"/>
      <c r="AB22" s="479"/>
      <c r="AC22" s="480"/>
      <c r="AD22" s="105"/>
      <c r="AE22" s="37"/>
      <c r="AF22" s="112"/>
      <c r="AG22" s="465"/>
      <c r="AH22" s="466"/>
      <c r="AI22" s="466"/>
      <c r="AJ22" s="467"/>
      <c r="AK22" s="113"/>
    </row>
    <row r="23" spans="2:37" ht="15" customHeight="1" x14ac:dyDescent="0.25">
      <c r="B23" s="526"/>
      <c r="C23" s="94"/>
      <c r="D23" s="50"/>
      <c r="E23" s="537"/>
      <c r="F23" s="538"/>
      <c r="G23" s="538"/>
      <c r="H23" s="539"/>
      <c r="I23" s="51"/>
      <c r="J23" s="37"/>
      <c r="K23" s="57"/>
      <c r="L23" s="491"/>
      <c r="M23" s="489"/>
      <c r="N23" s="489"/>
      <c r="O23" s="490"/>
      <c r="P23" s="58"/>
      <c r="Q23" s="37"/>
      <c r="R23" s="97"/>
      <c r="S23" s="501"/>
      <c r="T23" s="502"/>
      <c r="U23" s="502"/>
      <c r="V23" s="503"/>
      <c r="W23" s="98"/>
      <c r="X23" s="37"/>
      <c r="Y23" s="104"/>
      <c r="Z23" s="478"/>
      <c r="AA23" s="479"/>
      <c r="AB23" s="479"/>
      <c r="AC23" s="480"/>
      <c r="AD23" s="105"/>
      <c r="AE23" s="37"/>
      <c r="AF23" s="112"/>
      <c r="AG23" s="465"/>
      <c r="AH23" s="466"/>
      <c r="AI23" s="466"/>
      <c r="AJ23" s="467"/>
      <c r="AK23" s="113"/>
    </row>
    <row r="24" spans="2:37" ht="15" customHeight="1" x14ac:dyDescent="0.25">
      <c r="B24" s="526"/>
      <c r="C24" s="94"/>
      <c r="D24" s="50"/>
      <c r="E24" s="537"/>
      <c r="F24" s="538"/>
      <c r="G24" s="538"/>
      <c r="H24" s="539"/>
      <c r="I24" s="51"/>
      <c r="J24" s="37"/>
      <c r="K24" s="57"/>
      <c r="L24" s="491"/>
      <c r="M24" s="489"/>
      <c r="N24" s="489"/>
      <c r="O24" s="490"/>
      <c r="P24" s="58"/>
      <c r="Q24" s="37"/>
      <c r="R24" s="97"/>
      <c r="S24" s="501"/>
      <c r="T24" s="502"/>
      <c r="U24" s="502"/>
      <c r="V24" s="503"/>
      <c r="W24" s="98"/>
      <c r="X24" s="37"/>
      <c r="Y24" s="104"/>
      <c r="Z24" s="478"/>
      <c r="AA24" s="479"/>
      <c r="AB24" s="479"/>
      <c r="AC24" s="480"/>
      <c r="AD24" s="105"/>
      <c r="AE24" s="37"/>
      <c r="AF24" s="112"/>
      <c r="AG24" s="465"/>
      <c r="AH24" s="466"/>
      <c r="AI24" s="466"/>
      <c r="AJ24" s="467"/>
      <c r="AK24" s="113"/>
    </row>
    <row r="25" spans="2:37" ht="15" customHeight="1" x14ac:dyDescent="0.25">
      <c r="B25" s="526"/>
      <c r="C25" s="94"/>
      <c r="D25" s="50"/>
      <c r="E25" s="537"/>
      <c r="F25" s="538"/>
      <c r="G25" s="538"/>
      <c r="H25" s="539"/>
      <c r="I25" s="51"/>
      <c r="J25" s="37"/>
      <c r="K25" s="57"/>
      <c r="L25" s="491"/>
      <c r="M25" s="489"/>
      <c r="N25" s="489"/>
      <c r="O25" s="490"/>
      <c r="P25" s="58"/>
      <c r="Q25" s="37"/>
      <c r="R25" s="97"/>
      <c r="S25" s="501"/>
      <c r="T25" s="502"/>
      <c r="U25" s="502"/>
      <c r="V25" s="503"/>
      <c r="W25" s="98"/>
      <c r="X25" s="37"/>
      <c r="Y25" s="104"/>
      <c r="Z25" s="478"/>
      <c r="AA25" s="479"/>
      <c r="AB25" s="479"/>
      <c r="AC25" s="480"/>
      <c r="AD25" s="105"/>
      <c r="AE25" s="37"/>
      <c r="AF25" s="112"/>
      <c r="AG25" s="465"/>
      <c r="AH25" s="466"/>
      <c r="AI25" s="466"/>
      <c r="AJ25" s="467"/>
      <c r="AK25" s="113"/>
    </row>
    <row r="26" spans="2:37" ht="15" customHeight="1" x14ac:dyDescent="0.25">
      <c r="B26" s="526"/>
      <c r="C26" s="94"/>
      <c r="D26" s="50"/>
      <c r="E26" s="543"/>
      <c r="F26" s="544"/>
      <c r="G26" s="544"/>
      <c r="H26" s="545"/>
      <c r="I26" s="51"/>
      <c r="J26" s="37"/>
      <c r="K26" s="57"/>
      <c r="L26" s="491"/>
      <c r="M26" s="489"/>
      <c r="N26" s="489"/>
      <c r="O26" s="490"/>
      <c r="P26" s="58"/>
      <c r="Q26" s="37"/>
      <c r="R26" s="97"/>
      <c r="S26" s="501"/>
      <c r="T26" s="502"/>
      <c r="U26" s="502"/>
      <c r="V26" s="503"/>
      <c r="W26" s="98"/>
      <c r="X26" s="37"/>
      <c r="Y26" s="104"/>
      <c r="Z26" s="478"/>
      <c r="AA26" s="479"/>
      <c r="AB26" s="479"/>
      <c r="AC26" s="480"/>
      <c r="AD26" s="105"/>
      <c r="AE26" s="37"/>
      <c r="AF26" s="112"/>
      <c r="AG26" s="465"/>
      <c r="AH26" s="466"/>
      <c r="AI26" s="466"/>
      <c r="AJ26" s="467"/>
      <c r="AK26" s="113"/>
    </row>
    <row r="27" spans="2:37" ht="15" customHeight="1" x14ac:dyDescent="0.25">
      <c r="B27" s="526"/>
      <c r="C27" s="94"/>
      <c r="D27" s="50"/>
      <c r="E27" s="540" t="s">
        <v>37</v>
      </c>
      <c r="F27" s="541"/>
      <c r="G27" s="541"/>
      <c r="H27" s="542"/>
      <c r="I27" s="51"/>
      <c r="J27" s="37"/>
      <c r="K27" s="57"/>
      <c r="L27" s="488" t="s">
        <v>70</v>
      </c>
      <c r="M27" s="489"/>
      <c r="N27" s="489"/>
      <c r="O27" s="490"/>
      <c r="P27" s="58"/>
      <c r="Q27" s="37"/>
      <c r="R27" s="97"/>
      <c r="S27" s="504" t="s">
        <v>77</v>
      </c>
      <c r="T27" s="502"/>
      <c r="U27" s="502"/>
      <c r="V27" s="503"/>
      <c r="W27" s="98"/>
      <c r="X27" s="37"/>
      <c r="Y27" s="104"/>
      <c r="Z27" s="481" t="s">
        <v>100</v>
      </c>
      <c r="AA27" s="479"/>
      <c r="AB27" s="479"/>
      <c r="AC27" s="480"/>
      <c r="AD27" s="105"/>
      <c r="AE27" s="37"/>
      <c r="AF27" s="112"/>
      <c r="AG27" s="468" t="s">
        <v>86</v>
      </c>
      <c r="AH27" s="466"/>
      <c r="AI27" s="466"/>
      <c r="AJ27" s="467"/>
      <c r="AK27" s="113"/>
    </row>
    <row r="28" spans="2:37" ht="15" customHeight="1" x14ac:dyDescent="0.25">
      <c r="B28" s="526"/>
      <c r="C28" s="94"/>
      <c r="D28" s="50"/>
      <c r="E28" s="537"/>
      <c r="F28" s="538"/>
      <c r="G28" s="538"/>
      <c r="H28" s="539"/>
      <c r="I28" s="51"/>
      <c r="J28" s="37"/>
      <c r="K28" s="57"/>
      <c r="L28" s="491"/>
      <c r="M28" s="489"/>
      <c r="N28" s="489"/>
      <c r="O28" s="490"/>
      <c r="P28" s="58"/>
      <c r="Q28" s="37"/>
      <c r="R28" s="97"/>
      <c r="S28" s="501"/>
      <c r="T28" s="502"/>
      <c r="U28" s="502"/>
      <c r="V28" s="503"/>
      <c r="W28" s="98"/>
      <c r="X28" s="37"/>
      <c r="Y28" s="104"/>
      <c r="Z28" s="478"/>
      <c r="AA28" s="479"/>
      <c r="AB28" s="479"/>
      <c r="AC28" s="480"/>
      <c r="AD28" s="105"/>
      <c r="AE28" s="37"/>
      <c r="AF28" s="112"/>
      <c r="AG28" s="465"/>
      <c r="AH28" s="466"/>
      <c r="AI28" s="466"/>
      <c r="AJ28" s="467"/>
      <c r="AK28" s="113"/>
    </row>
    <row r="29" spans="2:37" ht="15" customHeight="1" x14ac:dyDescent="0.25">
      <c r="B29" s="526"/>
      <c r="C29" s="94"/>
      <c r="D29" s="50"/>
      <c r="E29" s="537"/>
      <c r="F29" s="538"/>
      <c r="G29" s="538"/>
      <c r="H29" s="539"/>
      <c r="I29" s="51"/>
      <c r="J29" s="37"/>
      <c r="K29" s="57"/>
      <c r="L29" s="491"/>
      <c r="M29" s="489"/>
      <c r="N29" s="489"/>
      <c r="O29" s="490"/>
      <c r="P29" s="58"/>
      <c r="Q29" s="37"/>
      <c r="R29" s="97"/>
      <c r="S29" s="501"/>
      <c r="T29" s="502"/>
      <c r="U29" s="502"/>
      <c r="V29" s="503"/>
      <c r="W29" s="98"/>
      <c r="X29" s="37"/>
      <c r="Y29" s="104"/>
      <c r="Z29" s="478"/>
      <c r="AA29" s="479"/>
      <c r="AB29" s="479"/>
      <c r="AC29" s="480"/>
      <c r="AD29" s="105"/>
      <c r="AE29" s="37"/>
      <c r="AF29" s="112"/>
      <c r="AG29" s="465"/>
      <c r="AH29" s="466"/>
      <c r="AI29" s="466"/>
      <c r="AJ29" s="467"/>
      <c r="AK29" s="113"/>
    </row>
    <row r="30" spans="2:37" ht="15" customHeight="1" x14ac:dyDescent="0.25">
      <c r="B30" s="526"/>
      <c r="C30" s="94"/>
      <c r="D30" s="50"/>
      <c r="E30" s="537"/>
      <c r="F30" s="538"/>
      <c r="G30" s="538"/>
      <c r="H30" s="539"/>
      <c r="I30" s="51"/>
      <c r="J30" s="37"/>
      <c r="K30" s="57"/>
      <c r="L30" s="491"/>
      <c r="M30" s="489"/>
      <c r="N30" s="489"/>
      <c r="O30" s="490"/>
      <c r="P30" s="58"/>
      <c r="Q30" s="37"/>
      <c r="R30" s="97"/>
      <c r="S30" s="501"/>
      <c r="T30" s="502"/>
      <c r="U30" s="502"/>
      <c r="V30" s="503"/>
      <c r="W30" s="98"/>
      <c r="X30" s="37"/>
      <c r="Y30" s="104"/>
      <c r="Z30" s="478"/>
      <c r="AA30" s="479"/>
      <c r="AB30" s="479"/>
      <c r="AC30" s="480"/>
      <c r="AD30" s="105"/>
      <c r="AE30" s="37"/>
      <c r="AF30" s="112"/>
      <c r="AG30" s="465"/>
      <c r="AH30" s="466"/>
      <c r="AI30" s="466"/>
      <c r="AJ30" s="467"/>
      <c r="AK30" s="113"/>
    </row>
    <row r="31" spans="2:37" ht="15" customHeight="1" x14ac:dyDescent="0.25">
      <c r="B31" s="526"/>
      <c r="C31" s="94"/>
      <c r="D31" s="50"/>
      <c r="E31" s="537"/>
      <c r="F31" s="538"/>
      <c r="G31" s="538"/>
      <c r="H31" s="539"/>
      <c r="I31" s="51"/>
      <c r="J31" s="37"/>
      <c r="K31" s="57"/>
      <c r="L31" s="491"/>
      <c r="M31" s="489"/>
      <c r="N31" s="489"/>
      <c r="O31" s="490"/>
      <c r="P31" s="58"/>
      <c r="Q31" s="37"/>
      <c r="R31" s="97"/>
      <c r="S31" s="501"/>
      <c r="T31" s="502"/>
      <c r="U31" s="502"/>
      <c r="V31" s="503"/>
      <c r="W31" s="98"/>
      <c r="X31" s="37"/>
      <c r="Y31" s="104"/>
      <c r="Z31" s="478"/>
      <c r="AA31" s="479"/>
      <c r="AB31" s="479"/>
      <c r="AC31" s="480"/>
      <c r="AD31" s="105"/>
      <c r="AE31" s="37"/>
      <c r="AF31" s="112"/>
      <c r="AG31" s="469"/>
      <c r="AH31" s="470"/>
      <c r="AI31" s="470"/>
      <c r="AJ31" s="471"/>
      <c r="AK31" s="113"/>
    </row>
    <row r="32" spans="2:37" ht="15" customHeight="1" x14ac:dyDescent="0.25">
      <c r="B32" s="526"/>
      <c r="C32" s="94"/>
      <c r="D32" s="50"/>
      <c r="E32" s="543"/>
      <c r="F32" s="544"/>
      <c r="G32" s="544"/>
      <c r="H32" s="545"/>
      <c r="I32" s="51"/>
      <c r="J32" s="37"/>
      <c r="K32" s="57"/>
      <c r="L32" s="491"/>
      <c r="M32" s="489"/>
      <c r="N32" s="489"/>
      <c r="O32" s="490"/>
      <c r="P32" s="58"/>
      <c r="Q32" s="37"/>
      <c r="R32" s="97"/>
      <c r="S32" s="501"/>
      <c r="T32" s="502"/>
      <c r="U32" s="502"/>
      <c r="V32" s="503"/>
      <c r="W32" s="98"/>
      <c r="X32" s="37"/>
      <c r="Y32" s="104"/>
      <c r="Z32" s="478"/>
      <c r="AA32" s="479"/>
      <c r="AB32" s="479"/>
      <c r="AC32" s="480"/>
      <c r="AD32" s="105"/>
      <c r="AE32" s="37"/>
      <c r="AF32" s="112"/>
      <c r="AG32" s="472"/>
      <c r="AH32" s="473"/>
      <c r="AI32" s="473"/>
      <c r="AJ32" s="474"/>
      <c r="AK32" s="113"/>
    </row>
    <row r="33" spans="2:37" ht="15" customHeight="1" x14ac:dyDescent="0.25">
      <c r="B33" s="526"/>
      <c r="C33" s="94"/>
      <c r="D33" s="50"/>
      <c r="E33" s="540" t="s">
        <v>37</v>
      </c>
      <c r="F33" s="541"/>
      <c r="G33" s="541"/>
      <c r="H33" s="542"/>
      <c r="I33" s="51"/>
      <c r="J33" s="37"/>
      <c r="K33" s="57"/>
      <c r="L33" s="488" t="s">
        <v>73</v>
      </c>
      <c r="M33" s="489"/>
      <c r="N33" s="489"/>
      <c r="O33" s="490"/>
      <c r="P33" s="58"/>
      <c r="Q33" s="37"/>
      <c r="R33" s="97"/>
      <c r="S33" s="504" t="s">
        <v>99</v>
      </c>
      <c r="T33" s="502"/>
      <c r="U33" s="502"/>
      <c r="V33" s="503"/>
      <c r="W33" s="98"/>
      <c r="X33" s="37"/>
      <c r="Y33" s="104"/>
      <c r="Z33" s="481" t="s">
        <v>83</v>
      </c>
      <c r="AA33" s="479"/>
      <c r="AB33" s="479"/>
      <c r="AC33" s="480"/>
      <c r="AD33" s="105"/>
      <c r="AE33" s="37"/>
      <c r="AF33" s="109"/>
      <c r="AG33" s="110"/>
      <c r="AH33" s="110"/>
      <c r="AI33" s="110"/>
      <c r="AJ33" s="110"/>
      <c r="AK33" s="111"/>
    </row>
    <row r="34" spans="2:37" ht="15" customHeight="1" x14ac:dyDescent="0.25">
      <c r="B34" s="526"/>
      <c r="C34" s="94"/>
      <c r="D34" s="50"/>
      <c r="E34" s="537"/>
      <c r="F34" s="538"/>
      <c r="G34" s="538"/>
      <c r="H34" s="539"/>
      <c r="I34" s="51"/>
      <c r="J34" s="37"/>
      <c r="K34" s="57"/>
      <c r="L34" s="491"/>
      <c r="M34" s="489"/>
      <c r="N34" s="489"/>
      <c r="O34" s="490"/>
      <c r="P34" s="58"/>
      <c r="Q34" s="37"/>
      <c r="R34" s="97"/>
      <c r="S34" s="501"/>
      <c r="T34" s="502"/>
      <c r="U34" s="502"/>
      <c r="V34" s="503"/>
      <c r="W34" s="98"/>
      <c r="X34" s="37"/>
      <c r="Y34" s="104"/>
      <c r="Z34" s="478"/>
      <c r="AA34" s="479"/>
      <c r="AB34" s="479"/>
      <c r="AC34" s="480"/>
      <c r="AD34" s="105"/>
      <c r="AE34" s="37"/>
      <c r="AF34" s="37"/>
    </row>
    <row r="35" spans="2:37" ht="15" customHeight="1" x14ac:dyDescent="0.25">
      <c r="B35" s="526"/>
      <c r="C35" s="94"/>
      <c r="D35" s="50"/>
      <c r="E35" s="537"/>
      <c r="F35" s="538"/>
      <c r="G35" s="538"/>
      <c r="H35" s="539"/>
      <c r="I35" s="51"/>
      <c r="J35" s="37"/>
      <c r="K35" s="57"/>
      <c r="L35" s="491"/>
      <c r="M35" s="489"/>
      <c r="N35" s="489"/>
      <c r="O35" s="490"/>
      <c r="P35" s="58"/>
      <c r="Q35" s="37"/>
      <c r="R35" s="97"/>
      <c r="S35" s="501"/>
      <c r="T35" s="502"/>
      <c r="U35" s="502"/>
      <c r="V35" s="503"/>
      <c r="W35" s="98"/>
      <c r="X35" s="37"/>
      <c r="Y35" s="104"/>
      <c r="Z35" s="478"/>
      <c r="AA35" s="479"/>
      <c r="AB35" s="479"/>
      <c r="AC35" s="480"/>
      <c r="AD35" s="105"/>
      <c r="AE35" s="37"/>
      <c r="AF35" s="37"/>
    </row>
    <row r="36" spans="2:37" ht="15" customHeight="1" x14ac:dyDescent="0.25">
      <c r="B36" s="526"/>
      <c r="C36" s="94"/>
      <c r="D36" s="50"/>
      <c r="E36" s="537"/>
      <c r="F36" s="538"/>
      <c r="G36" s="538"/>
      <c r="H36" s="539"/>
      <c r="I36" s="51"/>
      <c r="J36" s="37"/>
      <c r="K36" s="57"/>
      <c r="L36" s="491"/>
      <c r="M36" s="489"/>
      <c r="N36" s="489"/>
      <c r="O36" s="490"/>
      <c r="P36" s="58"/>
      <c r="Q36" s="37"/>
      <c r="R36" s="97"/>
      <c r="S36" s="501"/>
      <c r="T36" s="502"/>
      <c r="U36" s="502"/>
      <c r="V36" s="503"/>
      <c r="W36" s="98"/>
      <c r="X36" s="37"/>
      <c r="Y36" s="104"/>
      <c r="Z36" s="478"/>
      <c r="AA36" s="479"/>
      <c r="AB36" s="479"/>
      <c r="AC36" s="480"/>
      <c r="AD36" s="105"/>
      <c r="AE36" s="37"/>
      <c r="AF36" s="37"/>
    </row>
    <row r="37" spans="2:37" ht="15" customHeight="1" x14ac:dyDescent="0.25">
      <c r="B37" s="526"/>
      <c r="C37" s="94"/>
      <c r="D37" s="50"/>
      <c r="E37" s="537"/>
      <c r="F37" s="538"/>
      <c r="G37" s="538"/>
      <c r="H37" s="539"/>
      <c r="I37" s="51"/>
      <c r="J37" s="37"/>
      <c r="K37" s="57"/>
      <c r="L37" s="492"/>
      <c r="M37" s="493"/>
      <c r="N37" s="493"/>
      <c r="O37" s="494"/>
      <c r="P37" s="58"/>
      <c r="Q37" s="37"/>
      <c r="R37" s="97"/>
      <c r="S37" s="505"/>
      <c r="T37" s="506"/>
      <c r="U37" s="506"/>
      <c r="V37" s="507"/>
      <c r="W37" s="98"/>
      <c r="X37" s="37"/>
      <c r="Y37" s="104"/>
      <c r="Z37" s="482"/>
      <c r="AA37" s="483"/>
      <c r="AB37" s="483"/>
      <c r="AC37" s="484"/>
      <c r="AD37" s="105"/>
      <c r="AE37" s="37"/>
      <c r="AF37" s="37"/>
    </row>
    <row r="38" spans="2:37" ht="15" customHeight="1" x14ac:dyDescent="0.25">
      <c r="B38" s="526"/>
      <c r="C38" s="94"/>
      <c r="D38" s="50"/>
      <c r="E38" s="546"/>
      <c r="F38" s="547"/>
      <c r="G38" s="547"/>
      <c r="H38" s="548"/>
      <c r="I38" s="51"/>
      <c r="J38" s="37"/>
      <c r="K38" s="57"/>
      <c r="L38" s="495"/>
      <c r="M38" s="496"/>
      <c r="N38" s="496"/>
      <c r="O38" s="497"/>
      <c r="P38" s="58"/>
      <c r="Q38" s="37"/>
      <c r="R38" s="97"/>
      <c r="S38" s="508"/>
      <c r="T38" s="509"/>
      <c r="U38" s="509"/>
      <c r="V38" s="510"/>
      <c r="W38" s="98"/>
      <c r="X38" s="37"/>
      <c r="Y38" s="104"/>
      <c r="Z38" s="485"/>
      <c r="AA38" s="486"/>
      <c r="AB38" s="486"/>
      <c r="AC38" s="487"/>
      <c r="AD38" s="105"/>
      <c r="AE38" s="37"/>
      <c r="AF38" s="37"/>
    </row>
    <row r="39" spans="2:37" x14ac:dyDescent="0.25">
      <c r="D39" s="52"/>
      <c r="E39" s="53"/>
      <c r="F39" s="53"/>
      <c r="G39" s="53"/>
      <c r="H39" s="53"/>
      <c r="I39" s="54"/>
      <c r="K39" s="59"/>
      <c r="L39" s="60"/>
      <c r="M39" s="60"/>
      <c r="N39" s="60"/>
      <c r="O39" s="60"/>
      <c r="P39" s="61"/>
      <c r="R39" s="99"/>
      <c r="S39" s="100"/>
      <c r="T39" s="100"/>
      <c r="U39" s="100"/>
      <c r="V39" s="100"/>
      <c r="W39" s="101"/>
      <c r="Y39" s="106"/>
      <c r="Z39" s="107"/>
      <c r="AA39" s="107"/>
      <c r="AB39" s="107"/>
      <c r="AC39" s="107"/>
      <c r="AD39" s="108"/>
    </row>
  </sheetData>
  <mergeCells count="36">
    <mergeCell ref="B21:B38"/>
    <mergeCell ref="K7:P8"/>
    <mergeCell ref="R7:W8"/>
    <mergeCell ref="Y7:AD8"/>
    <mergeCell ref="AF7:AK8"/>
    <mergeCell ref="D7:I8"/>
    <mergeCell ref="B10:B20"/>
    <mergeCell ref="E10:H14"/>
    <mergeCell ref="E15:H20"/>
    <mergeCell ref="E21:H26"/>
    <mergeCell ref="E27:H32"/>
    <mergeCell ref="E33:H38"/>
    <mergeCell ref="L10:O14"/>
    <mergeCell ref="L15:O20"/>
    <mergeCell ref="L21:O26"/>
    <mergeCell ref="L27:O32"/>
    <mergeCell ref="E4:H5"/>
    <mergeCell ref="L4:O5"/>
    <mergeCell ref="S4:V5"/>
    <mergeCell ref="Z4:AC5"/>
    <mergeCell ref="AG4:AJ5"/>
    <mergeCell ref="Z33:AC38"/>
    <mergeCell ref="L33:O38"/>
    <mergeCell ref="S10:V14"/>
    <mergeCell ref="S15:V20"/>
    <mergeCell ref="S21:V26"/>
    <mergeCell ref="S27:V32"/>
    <mergeCell ref="S33:V38"/>
    <mergeCell ref="AG10:AJ14"/>
    <mergeCell ref="AG15:AJ20"/>
    <mergeCell ref="AG21:AJ26"/>
    <mergeCell ref="AG27:AJ32"/>
    <mergeCell ref="Z10:AC14"/>
    <mergeCell ref="Z15:AC20"/>
    <mergeCell ref="Z21:AC26"/>
    <mergeCell ref="Z27:AC3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Risk-Free Rates</vt:lpstr>
      <vt:lpstr>Swap Pricing</vt:lpstr>
      <vt:lpstr>USD Instruments &amp; Statistics</vt:lpstr>
      <vt:lpstr>Interpolation</vt:lpstr>
      <vt:lpstr>Bootrapping USD3ML</vt:lpstr>
      <vt:lpstr>Solving USD3ML</vt:lpstr>
      <vt:lpstr>Solving EUR3ML</vt:lpstr>
      <vt:lpstr>Single Curve Calibration</vt:lpstr>
      <vt:lpstr>Global Curve Calibration</vt:lpstr>
      <vt:lpstr>USD LIBOR</vt:lpstr>
      <vt:lpstr>USD SOFR Spikes</vt:lpstr>
      <vt:lpstr>USD SOFR</vt:lpstr>
      <vt:lpstr>USD SOFR BASIC vs ADVANCED</vt:lpstr>
      <vt:lpstr>DiscountFactor1Y</vt:lpstr>
      <vt:lpstr>DiscountFactor2Y</vt:lpstr>
      <vt:lpstr>DiscountFactor3Y</vt:lpstr>
      <vt:lpstr>DiscountFactor4Y</vt:lpstr>
      <vt:lpstr>DiscountFactor5Y</vt:lpstr>
      <vt:lpstr>ParRate1Y</vt:lpstr>
      <vt:lpstr>ParRate2Y</vt:lpstr>
      <vt:lpstr>ParRate3Y</vt:lpstr>
      <vt:lpstr>ParRate4Y</vt:lpstr>
      <vt:lpstr>ParRate5Y</vt:lpstr>
    </vt:vector>
  </TitlesOfParts>
  <Company>Mizuho International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Burgess Nicholas</dc:creator>
  <cp:lastModifiedBy>Nicholas Burgess</cp:lastModifiedBy>
  <dcterms:created xsi:type="dcterms:W3CDTF">2019-09-09T14:11:53Z</dcterms:created>
  <dcterms:modified xsi:type="dcterms:W3CDTF">2022-01-04T00:02:26Z</dcterms:modified>
</cp:coreProperties>
</file>